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YandexDisk\formal\marketing\"/>
    </mc:Choice>
  </mc:AlternateContent>
  <bookViews>
    <workbookView xWindow="0" yWindow="0" windowWidth="16380" windowHeight="8190" tabRatio="500"/>
  </bookViews>
  <sheets>
    <sheet name="calc" sheetId="1" r:id="rId1"/>
    <sheet name="data" sheetId="2" r:id="rId2"/>
    <sheet name="internal" sheetId="3" r:id="rId3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48" i="3" l="1"/>
  <c r="A46" i="3"/>
  <c r="A51" i="3"/>
  <c r="A42" i="3"/>
  <c r="M10" i="3" s="1"/>
  <c r="A39" i="3"/>
  <c r="N32" i="3" s="1"/>
  <c r="A36" i="3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46" i="1"/>
  <c r="B45" i="1"/>
  <c r="B42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M16" i="3" l="1"/>
  <c r="N21" i="3"/>
  <c r="O28" i="3"/>
  <c r="N17" i="3"/>
  <c r="O22" i="3"/>
  <c r="M30" i="3"/>
  <c r="O18" i="3"/>
  <c r="M26" i="3"/>
  <c r="N31" i="3"/>
  <c r="M20" i="3"/>
  <c r="N27" i="3"/>
  <c r="O32" i="3"/>
  <c r="M6" i="3"/>
  <c r="N11" i="3"/>
  <c r="N7" i="3"/>
  <c r="O12" i="3"/>
  <c r="O8" i="3"/>
  <c r="G44" i="3"/>
  <c r="A54" i="3"/>
  <c r="B41" i="1" s="1"/>
  <c r="B44" i="1"/>
  <c r="G40" i="3"/>
  <c r="F44" i="3"/>
  <c r="J44" i="3" s="1"/>
  <c r="N5" i="3"/>
  <c r="O6" i="3"/>
  <c r="E38" i="3" s="1"/>
  <c r="I38" i="3" s="1"/>
  <c r="M8" i="3"/>
  <c r="N9" i="3"/>
  <c r="O10" i="3"/>
  <c r="E42" i="3" s="1"/>
  <c r="I42" i="3" s="1"/>
  <c r="M12" i="3"/>
  <c r="N15" i="3"/>
  <c r="O16" i="3"/>
  <c r="F38" i="3" s="1"/>
  <c r="J38" i="3" s="1"/>
  <c r="M18" i="3"/>
  <c r="N19" i="3"/>
  <c r="O20" i="3"/>
  <c r="M22" i="3"/>
  <c r="N25" i="3"/>
  <c r="O26" i="3"/>
  <c r="G38" i="3" s="1"/>
  <c r="M28" i="3"/>
  <c r="N29" i="3"/>
  <c r="O30" i="3"/>
  <c r="M32" i="3"/>
  <c r="F42" i="3"/>
  <c r="J42" i="3" s="1"/>
  <c r="M5" i="3"/>
  <c r="N6" i="3"/>
  <c r="O7" i="3"/>
  <c r="M9" i="3"/>
  <c r="N10" i="3"/>
  <c r="O11" i="3"/>
  <c r="E43" i="3" s="1"/>
  <c r="I43" i="3" s="1"/>
  <c r="M15" i="3"/>
  <c r="N16" i="3"/>
  <c r="O17" i="3"/>
  <c r="F39" i="3" s="1"/>
  <c r="J39" i="3" s="1"/>
  <c r="M19" i="3"/>
  <c r="N20" i="3"/>
  <c r="O21" i="3"/>
  <c r="M25" i="3"/>
  <c r="N26" i="3"/>
  <c r="O27" i="3"/>
  <c r="M29" i="3"/>
  <c r="N30" i="3"/>
  <c r="O31" i="3"/>
  <c r="G43" i="3" s="1"/>
  <c r="O5" i="3"/>
  <c r="E37" i="3" s="1"/>
  <c r="I37" i="3" s="1"/>
  <c r="M7" i="3"/>
  <c r="N8" i="3"/>
  <c r="O9" i="3"/>
  <c r="E41" i="3" s="1"/>
  <c r="I41" i="3" s="1"/>
  <c r="M11" i="3"/>
  <c r="N12" i="3"/>
  <c r="O15" i="3"/>
  <c r="F37" i="3" s="1"/>
  <c r="J37" i="3" s="1"/>
  <c r="M17" i="3"/>
  <c r="N18" i="3"/>
  <c r="O19" i="3"/>
  <c r="F41" i="3" s="1"/>
  <c r="J41" i="3" s="1"/>
  <c r="M21" i="3"/>
  <c r="N22" i="3"/>
  <c r="O25" i="3"/>
  <c r="G37" i="3" s="1"/>
  <c r="M27" i="3"/>
  <c r="N28" i="3"/>
  <c r="O29" i="3"/>
  <c r="G41" i="3" s="1"/>
  <c r="M31" i="3"/>
  <c r="G39" i="3"/>
  <c r="F40" i="3"/>
  <c r="J40" i="3" s="1"/>
  <c r="G42" i="3"/>
  <c r="F43" i="3"/>
  <c r="J43" i="3" s="1"/>
  <c r="E44" i="3" l="1"/>
  <c r="I44" i="3" s="1"/>
  <c r="E39" i="3"/>
  <c r="I39" i="3" s="1"/>
  <c r="E40" i="3"/>
  <c r="I40" i="3" s="1"/>
  <c r="K41" i="3"/>
  <c r="M41" i="3" s="1"/>
  <c r="K43" i="3"/>
  <c r="M43" i="3" s="1"/>
  <c r="K37" i="3"/>
  <c r="M37" i="3" s="1"/>
  <c r="N37" i="3" s="1"/>
  <c r="O37" i="3" s="1"/>
  <c r="K42" i="3"/>
  <c r="M42" i="3" s="1"/>
  <c r="K39" i="3"/>
  <c r="K40" i="3"/>
  <c r="K44" i="3"/>
  <c r="M44" i="3" s="1"/>
  <c r="K38" i="3"/>
  <c r="M38" i="3" s="1"/>
  <c r="N38" i="3" s="1"/>
  <c r="O38" i="3" s="1"/>
  <c r="M40" i="3" l="1"/>
  <c r="N40" i="3" s="1"/>
  <c r="O40" i="3" s="1"/>
  <c r="M39" i="3"/>
  <c r="N39" i="3" s="1"/>
  <c r="O39" i="3" s="1"/>
  <c r="N43" i="3"/>
  <c r="M49" i="3"/>
  <c r="M52" i="3" s="1"/>
  <c r="N42" i="3"/>
  <c r="M48" i="3"/>
  <c r="N41" i="3"/>
  <c r="M47" i="3"/>
  <c r="N44" i="3"/>
  <c r="M50" i="3"/>
  <c r="M53" i="3" s="1"/>
  <c r="M55" i="3" l="1"/>
  <c r="B38" i="1" s="1"/>
  <c r="N50" i="3"/>
  <c r="N53" i="3" s="1"/>
  <c r="O44" i="3"/>
  <c r="O50" i="3" s="1"/>
  <c r="O53" i="3" s="1"/>
  <c r="N48" i="3"/>
  <c r="O42" i="3"/>
  <c r="O48" i="3" s="1"/>
  <c r="N47" i="3"/>
  <c r="O41" i="3"/>
  <c r="O47" i="3" s="1"/>
  <c r="N49" i="3"/>
  <c r="N52" i="3" s="1"/>
  <c r="O43" i="3"/>
  <c r="O49" i="3" s="1"/>
  <c r="O52" i="3" s="1"/>
  <c r="N55" i="3" l="1"/>
  <c r="O55" i="3"/>
  <c r="B39" i="1" s="1"/>
</calcChain>
</file>

<file path=xl/sharedStrings.xml><?xml version="1.0" encoding="utf-8"?>
<sst xmlns="http://schemas.openxmlformats.org/spreadsheetml/2006/main" count="176" uniqueCount="149">
  <si>
    <t>калькулятор расчета Рубикон. (с) Сигма 2011-2020.</t>
  </si>
  <si>
    <t>калькулятор предназначен для выбора режимов работы ППК или КА2 РУБИКОН</t>
  </si>
  <si>
    <t>и расчета допустимой длины шлейфа для различных типов кабелей</t>
  </si>
  <si>
    <t>в синих клетках выбрать значение, в зеленых ввести руками</t>
  </si>
  <si>
    <t>в красных будет результат</t>
  </si>
  <si>
    <t>состояние</t>
  </si>
  <si>
    <t>норма</t>
  </si>
  <si>
    <t>режим V</t>
  </si>
  <si>
    <t>режим I</t>
  </si>
  <si>
    <t>ответ</t>
  </si>
  <si>
    <t>по току</t>
  </si>
  <si>
    <t>кабель</t>
  </si>
  <si>
    <t>КПКВнг(А)-FRLS 1х2х0,2</t>
  </si>
  <si>
    <t>напряжение питания</t>
  </si>
  <si>
    <t>устройство</t>
  </si>
  <si>
    <t>КА2</t>
  </si>
  <si>
    <t>длина прямая</t>
  </si>
  <si>
    <t>м</t>
  </si>
  <si>
    <t>длина с ответвлениями</t>
  </si>
  <si>
    <t>ток потребления на этот шлейф</t>
  </si>
  <si>
    <t>ма</t>
  </si>
  <si>
    <t>(плюс к базовому току прибора)</t>
  </si>
  <si>
    <t>базовый ток прибора</t>
  </si>
  <si>
    <t>(не забывайте про ток потребления оповещателей!)</t>
  </si>
  <si>
    <t>предупреждения</t>
  </si>
  <si>
    <t>V</t>
  </si>
  <si>
    <t>тревога</t>
  </si>
  <si>
    <t>12в</t>
  </si>
  <si>
    <t>24в</t>
  </si>
  <si>
    <t>I</t>
  </si>
  <si>
    <t>питание</t>
  </si>
  <si>
    <t>ППКМ</t>
  </si>
  <si>
    <t>ППКЕ</t>
  </si>
  <si>
    <t>дивайс</t>
  </si>
  <si>
    <t>по напряжению</t>
  </si>
  <si>
    <t>R, ом/км</t>
  </si>
  <si>
    <t>C, нф/км</t>
  </si>
  <si>
    <t>справочные данные</t>
  </si>
  <si>
    <t>не перемещать по строкам !!!!</t>
  </si>
  <si>
    <t>КПСнг(А)-FRLS 1x2x0,2</t>
  </si>
  <si>
    <t>ток д</t>
  </si>
  <si>
    <t>ток т</t>
  </si>
  <si>
    <t>КПСнг(А)-FRLS 1x2x0,35</t>
  </si>
  <si>
    <t>А3ДПИ</t>
  </si>
  <si>
    <t>*</t>
  </si>
  <si>
    <t>КПСнг(А)-FRLS 1x2x0,5</t>
  </si>
  <si>
    <t>А3ДПИ до 2020</t>
  </si>
  <si>
    <t>КПСнг(А)-FRLS 1x2x0,75</t>
  </si>
  <si>
    <t>А2ДПИ</t>
  </si>
  <si>
    <t>КПСнг(А)-FRLS 1x2x1,0</t>
  </si>
  <si>
    <t>АВИ</t>
  </si>
  <si>
    <t>КПСнг(А)-FRLS 1x2x1,5</t>
  </si>
  <si>
    <t>АМК</t>
  </si>
  <si>
    <t>КПСнг(А)-FRLS 1x2x2,5</t>
  </si>
  <si>
    <t>АОПИ</t>
  </si>
  <si>
    <t>КШСнг(A)-FRLS 1x2x0,52</t>
  </si>
  <si>
    <t>АР1</t>
  </si>
  <si>
    <t>КШСнг(A)-FRLS 1x2x0,60</t>
  </si>
  <si>
    <t>АР5</t>
  </si>
  <si>
    <t>КПСЭнг(А)-FRLS 1x2x0,2</t>
  </si>
  <si>
    <t>АР5 (ш3 активен)</t>
  </si>
  <si>
    <t>КПСЭнг(А)-FRLS 1x2x0,35</t>
  </si>
  <si>
    <t>АР-мини</t>
  </si>
  <si>
    <t>КПСЭнг(А)-FRLS 1x2x0,5</t>
  </si>
  <si>
    <t>АТИ</t>
  </si>
  <si>
    <t>КПСЭнг(А)-FRLS 1x2x0,75</t>
  </si>
  <si>
    <t>ИР-п (ИР-о, ИР-пуск)</t>
  </si>
  <si>
    <t>КПСЭнг(А)-FRLS 1x2x1,0</t>
  </si>
  <si>
    <t>ИРС</t>
  </si>
  <si>
    <t>КПСЭнг(А)-FRLS 1x2x1,5</t>
  </si>
  <si>
    <t>ИСМ-22, в т.ч. Исп.1 и исп.2</t>
  </si>
  <si>
    <t>КПСЭнг(А)-FRLS 1x2x2,5</t>
  </si>
  <si>
    <t>ИСМ-220</t>
  </si>
  <si>
    <t>КШСЭнг(A)-FRLS 1x2x0,52</t>
  </si>
  <si>
    <t>ИСМ-220 исп.4</t>
  </si>
  <si>
    <t>КШСЭнг(A)-FRLS 1x2x0,60</t>
  </si>
  <si>
    <t>ИСМ-5</t>
  </si>
  <si>
    <t>КСРПнг-FRHF 2х0,50</t>
  </si>
  <si>
    <t>МКЗ</t>
  </si>
  <si>
    <t>КСРЭПнг-FRHF 2х0,50</t>
  </si>
  <si>
    <t>МПТ</t>
  </si>
  <si>
    <t>КСРПнг-FRHF 2х0,64</t>
  </si>
  <si>
    <t>ОСЗ</t>
  </si>
  <si>
    <t>КСРЭПнг-FRHF 2х0,64</t>
  </si>
  <si>
    <t>ОСЗ-08</t>
  </si>
  <si>
    <t>КСРПнг-FRHF 2х0,8</t>
  </si>
  <si>
    <t>КСРЭПнг-FRHF 2х0,8</t>
  </si>
  <si>
    <t>КСРПнг-FRHF 1x2х0,97</t>
  </si>
  <si>
    <t>пароль</t>
  </si>
  <si>
    <t>alex</t>
  </si>
  <si>
    <t>КСРЭПнг-FRHF 1x2х0,97</t>
  </si>
  <si>
    <t>КСРПнг-FRHF 1x2х1,13</t>
  </si>
  <si>
    <t>КСРЭПнг-FRHF 1x2х1,13</t>
  </si>
  <si>
    <t>КСРПнг-FRHF 1x2х1,38</t>
  </si>
  <si>
    <t>КСРЭПнг-FRHF 1x2х1,38</t>
  </si>
  <si>
    <t>КСРПнг-FRHF 1x2х1,78</t>
  </si>
  <si>
    <t>КСРЭПнг-FRHF 1x2х1,78</t>
  </si>
  <si>
    <t>FireKab FRHF 1x2xD0,5 (0.22мм2)</t>
  </si>
  <si>
    <t>FireKab FRHF 1x2xD0,8 (0.5мм2)</t>
  </si>
  <si>
    <t>FireKab FRHF 1x2xD1,0  (0.75мм2)</t>
  </si>
  <si>
    <t>FireKab FRHF 1x2xD1,2 (1мм2)</t>
  </si>
  <si>
    <t>FireKab FRHF 1x2xD1,5 (1,5мм2)</t>
  </si>
  <si>
    <t>КПКВнг(А)-FRLS 1х2х0,35</t>
  </si>
  <si>
    <t>КПКВнг(А)-FRLS 1х2х0,5</t>
  </si>
  <si>
    <t>КПКВнг(А)-FRLS 1х2х0,75</t>
  </si>
  <si>
    <t>КПКВнг(А)-FRLS 1х2х1,0</t>
  </si>
  <si>
    <t>КПКВнг(А)-FRLS 1х2х1,5</t>
  </si>
  <si>
    <t>КПКЭВнг(А)-FRLS 1х2х0,2</t>
  </si>
  <si>
    <t>КПКЭВнг(А)-FRLS 1х2х0,35</t>
  </si>
  <si>
    <t>КПКЭВнг(А)-FRLS 1х2х0,5</t>
  </si>
  <si>
    <t>КПКЭВнг(А)-FRLS 1х2х0,75</t>
  </si>
  <si>
    <t>КПКЭВнг(А)-FRLS 1х2х1,0</t>
  </si>
  <si>
    <t>КПКЭВнг(А)-FRLS 1х2х1,5</t>
  </si>
  <si>
    <t>устройства</t>
  </si>
  <si>
    <t>a3dpi old</t>
  </si>
  <si>
    <t>a2, a3, ism</t>
  </si>
  <si>
    <t>ток</t>
  </si>
  <si>
    <t>min</t>
  </si>
  <si>
    <t>max</t>
  </si>
  <si>
    <t>любой</t>
  </si>
  <si>
    <t>r max</t>
  </si>
  <si>
    <t>20/40,U</t>
  </si>
  <si>
    <t>40/40,U</t>
  </si>
  <si>
    <t>20/100,U</t>
  </si>
  <si>
    <t>40/100,U</t>
  </si>
  <si>
    <t>20/40,I</t>
  </si>
  <si>
    <t>40/40,I</t>
  </si>
  <si>
    <t>20/100,I</t>
  </si>
  <si>
    <t>40/100,I</t>
  </si>
  <si>
    <t>c max</t>
  </si>
  <si>
    <t>rc max</t>
  </si>
  <si>
    <t>I calculated</t>
  </si>
  <si>
    <t>ohm</t>
  </si>
  <si>
    <t>nF</t>
  </si>
  <si>
    <t>kohm*nf</t>
  </si>
  <si>
    <t>max по R</t>
  </si>
  <si>
    <t>max по C</t>
  </si>
  <si>
    <t>max по RC</t>
  </si>
  <si>
    <t>U</t>
  </si>
  <si>
    <t>R прямая</t>
  </si>
  <si>
    <t>a3dpi old present</t>
  </si>
  <si>
    <t>a3, a2, ism present</t>
  </si>
  <si>
    <t>answer by I</t>
  </si>
  <si>
    <t>погонная емкость</t>
  </si>
  <si>
    <t>погонное сопротивление ОДНОЙ жилы</t>
  </si>
  <si>
    <t>ответ по току</t>
  </si>
  <si>
    <t>ток потребления</t>
  </si>
  <si>
    <t>КПСЭнг(А)-FRHF 1x2x0.75</t>
  </si>
  <si>
    <t>КПСнг(А)-FRHF 1x2x0.75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</si>
</sst>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  <family val="2"/>
      <charset val="1"/>
    </font>
    <font>
      <b/>
      <sz val="20"/>
      <name val="Arial Cyr"/>
      <charset val="204"/>
    </font>
    <font>
      <sz val="12"/>
      <name val="Arial Cyr"/>
      <charset val="204"/>
    </font>
    <font>
      <b/>
      <sz val="10"/>
      <name val="Arial"/>
      <family val="2"/>
      <charset val="204"/>
    </font>
    <font>
      <b/>
      <sz val="10"/>
      <color rgb="FFFFFF00"/>
      <name val="Arial"/>
      <family val="2"/>
      <charset val="204"/>
    </font>
    <font>
      <sz val="11"/>
      <name val="Arial Cyr"/>
      <charset val="204"/>
    </font>
    <font>
      <b/>
      <sz val="10"/>
      <name val="Arial Cyr"/>
      <charset val="204"/>
    </font>
    <font>
      <sz val="10"/>
      <color rgb="FFD9D9D9"/>
      <name val="Arial"/>
      <family val="2"/>
      <charset val="1"/>
    </font>
    <font>
      <sz val="10"/>
      <color rgb="FFFFFFFF"/>
      <name val="Arial"/>
      <family val="2"/>
      <charset val="1"/>
    </font>
  </fonts>
  <fills count="20">
    <fill>
      <patternFill patternType="none"/>
    </fill>
    <fill>
      <patternFill patternType="gray125"/>
    </fill>
    <fill>
      <patternFill patternType="solid">
        <fgColor rgb="FFB7DEE8"/>
        <bgColor rgb="FFD9D9D9"/>
      </patternFill>
    </fill>
    <fill>
      <patternFill patternType="solid">
        <fgColor rgb="FFDCE6F2"/>
        <bgColor rgb="FFE6E0EC"/>
      </patternFill>
    </fill>
    <fill>
      <patternFill patternType="solid">
        <fgColor rgb="FF558ED5"/>
        <bgColor rgb="FF808080"/>
      </patternFill>
    </fill>
    <fill>
      <patternFill patternType="solid">
        <fgColor rgb="FF00B050"/>
        <bgColor rgb="FF00A65D"/>
      </patternFill>
    </fill>
    <fill>
      <patternFill patternType="solid">
        <fgColor rgb="FFFF0000"/>
        <bgColor rgb="FF993300"/>
      </patternFill>
    </fill>
    <fill>
      <patternFill patternType="solid">
        <fgColor rgb="FFD7E4BD"/>
        <bgColor rgb="FFD9D9D9"/>
      </patternFill>
    </fill>
    <fill>
      <patternFill patternType="solid">
        <fgColor rgb="FFCCC1DA"/>
        <bgColor rgb="FFD9D9D9"/>
      </patternFill>
    </fill>
    <fill>
      <patternFill patternType="solid">
        <fgColor rgb="FFFCD5B5"/>
        <bgColor rgb="FFFEDCC6"/>
      </patternFill>
    </fill>
    <fill>
      <patternFill patternType="solid">
        <fgColor rgb="FFCC99FF"/>
        <bgColor rgb="FF9999FF"/>
      </patternFill>
    </fill>
    <fill>
      <patternFill patternType="solid">
        <fgColor rgb="FFFFFFFF"/>
        <bgColor rgb="FFDCE6F2"/>
      </patternFill>
    </fill>
    <fill>
      <patternFill patternType="solid">
        <fgColor rgb="FFFFFF00"/>
        <bgColor rgb="FFFFF200"/>
      </patternFill>
    </fill>
    <fill>
      <patternFill patternType="solid">
        <fgColor rgb="FF00A65D"/>
        <bgColor rgb="FF00B050"/>
      </patternFill>
    </fill>
    <fill>
      <patternFill patternType="solid">
        <fgColor rgb="FF0066B3"/>
        <bgColor rgb="FF008080"/>
      </patternFill>
    </fill>
    <fill>
      <patternFill patternType="solid">
        <fgColor rgb="FFA3238E"/>
        <bgColor rgb="FF993366"/>
      </patternFill>
    </fill>
    <fill>
      <patternFill patternType="solid">
        <fgColor rgb="FFFEDCC6"/>
        <bgColor rgb="FFFCD5B5"/>
      </patternFill>
    </fill>
    <fill>
      <patternFill patternType="solid">
        <fgColor rgb="FFE6E0EC"/>
        <bgColor rgb="FFDCE6F2"/>
      </patternFill>
    </fill>
    <fill>
      <patternFill patternType="solid">
        <fgColor rgb="FFFFF200"/>
        <bgColor rgb="FFFFFF00"/>
      </patternFill>
    </fill>
    <fill>
      <patternFill patternType="solid">
        <fgColor rgb="FFE3D200"/>
        <bgColor rgb="FFFFF2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2" fillId="3" borderId="0" xfId="0" applyFont="1" applyFill="1"/>
    <xf numFmtId="0" fontId="3" fillId="0" borderId="0" xfId="0" applyFont="1"/>
    <xf numFmtId="0" fontId="3" fillId="0" borderId="0" xfId="0" applyFont="1" applyAlignment="1">
      <alignment horizontal="right"/>
    </xf>
    <xf numFmtId="0" fontId="0" fillId="4" borderId="0" xfId="0" applyFont="1" applyFill="1" applyProtection="1">
      <protection locked="0"/>
    </xf>
    <xf numFmtId="0" fontId="0" fillId="4" borderId="0" xfId="0" applyFill="1" applyAlignment="1" applyProtection="1">
      <alignment horizontal="left"/>
      <protection locked="0"/>
    </xf>
    <xf numFmtId="0" fontId="0" fillId="4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3" fontId="0" fillId="5" borderId="0" xfId="0" applyNumberFormat="1" applyFill="1" applyAlignment="1" applyProtection="1">
      <alignment horizontal="left"/>
      <protection locked="0"/>
    </xf>
    <xf numFmtId="1" fontId="4" fillId="6" borderId="0" xfId="0" applyNumberFormat="1" applyFont="1" applyFill="1"/>
    <xf numFmtId="0" fontId="4" fillId="6" borderId="0" xfId="0" applyFont="1" applyFill="1"/>
    <xf numFmtId="0" fontId="0" fillId="0" borderId="0" xfId="0" applyAlignment="1">
      <alignment horizontal="right"/>
    </xf>
    <xf numFmtId="0" fontId="0" fillId="7" borderId="0" xfId="0" applyFont="1" applyFill="1" applyAlignment="1">
      <alignment horizontal="right"/>
    </xf>
    <xf numFmtId="0" fontId="0" fillId="7" borderId="0" xfId="0" applyFill="1"/>
    <xf numFmtId="0" fontId="0" fillId="8" borderId="0" xfId="0" applyFont="1" applyFill="1" applyAlignment="1">
      <alignment horizontal="right"/>
    </xf>
    <xf numFmtId="0" fontId="0" fillId="8" borderId="0" xfId="0" applyFill="1"/>
    <xf numFmtId="0" fontId="0" fillId="9" borderId="0" xfId="0" applyFont="1" applyFill="1" applyAlignment="1">
      <alignment horizontal="right"/>
    </xf>
    <xf numFmtId="0" fontId="0" fillId="9" borderId="0" xfId="0" applyFont="1" applyFill="1"/>
    <xf numFmtId="0" fontId="0" fillId="10" borderId="0" xfId="0" applyFont="1" applyFill="1"/>
    <xf numFmtId="0" fontId="5" fillId="11" borderId="0" xfId="0" applyFont="1" applyFill="1"/>
    <xf numFmtId="0" fontId="0" fillId="11" borderId="0" xfId="0" applyFont="1" applyFill="1"/>
    <xf numFmtId="0" fontId="6" fillId="10" borderId="0" xfId="0" applyFont="1" applyFill="1"/>
    <xf numFmtId="2" fontId="6" fillId="10" borderId="0" xfId="0" applyNumberFormat="1" applyFont="1" applyFill="1"/>
    <xf numFmtId="164" fontId="6" fillId="10" borderId="0" xfId="0" applyNumberFormat="1" applyFont="1" applyFill="1"/>
    <xf numFmtId="2" fontId="0" fillId="10" borderId="0" xfId="0" applyNumberFormat="1" applyFont="1" applyFill="1"/>
    <xf numFmtId="164" fontId="0" fillId="10" borderId="0" xfId="0" applyNumberFormat="1" applyFont="1" applyFill="1"/>
    <xf numFmtId="0" fontId="7" fillId="0" borderId="0" xfId="0" applyFont="1"/>
    <xf numFmtId="0" fontId="8" fillId="0" borderId="0" xfId="0" applyFont="1"/>
    <xf numFmtId="0" fontId="0" fillId="12" borderId="0" xfId="0" applyFill="1"/>
    <xf numFmtId="9" fontId="0" fillId="0" borderId="0" xfId="0" applyNumberFormat="1"/>
    <xf numFmtId="10" fontId="0" fillId="0" borderId="0" xfId="0" applyNumberFormat="1" applyFont="1"/>
    <xf numFmtId="0" fontId="0" fillId="13" borderId="0" xfId="0" applyFont="1" applyFill="1"/>
    <xf numFmtId="0" fontId="0" fillId="3" borderId="1" xfId="0" applyFont="1" applyFill="1" applyBorder="1" applyAlignment="1">
      <alignment horizontal="left"/>
    </xf>
    <xf numFmtId="0" fontId="0" fillId="14" borderId="0" xfId="0" applyFill="1"/>
    <xf numFmtId="0" fontId="0" fillId="15" borderId="0" xfId="0" applyFill="1"/>
    <xf numFmtId="0" fontId="0" fillId="16" borderId="2" xfId="0" applyFill="1" applyBorder="1"/>
    <xf numFmtId="0" fontId="0" fillId="17" borderId="1" xfId="0" applyFont="1" applyFill="1" applyBorder="1" applyAlignment="1">
      <alignment horizontal="left"/>
    </xf>
    <xf numFmtId="0" fontId="0" fillId="18" borderId="0" xfId="0" applyFont="1" applyFill="1"/>
    <xf numFmtId="0" fontId="0" fillId="19" borderId="0" xfId="0" applyFill="1"/>
    <xf numFmtId="1" fontId="0" fillId="16" borderId="2" xfId="0" applyNumberFormat="1" applyFill="1" applyBorder="1"/>
    <xf numFmtId="1" fontId="0" fillId="18" borderId="0" xfId="0" applyNumberFormat="1" applyFill="1"/>
    <xf numFmtId="3" fontId="0" fillId="19" borderId="0" xfId="0" applyNumberFormat="1" applyFill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B050"/>
      <rgbColor rgb="FFCCC1DA"/>
      <rgbColor rgb="FF808080"/>
      <rgbColor rgb="FF9999FF"/>
      <rgbColor rgb="FFA3238E"/>
      <rgbColor rgb="FFFEDCC6"/>
      <rgbColor rgb="FFDCE6F2"/>
      <rgbColor rgb="FF660066"/>
      <rgbColor rgb="FFFF8080"/>
      <rgbColor rgb="FF0066B3"/>
      <rgbColor rgb="FFD9D9D9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E6E0EC"/>
      <rgbColor rgb="FFD7E4BD"/>
      <rgbColor rgb="FFFFFF99"/>
      <rgbColor rgb="FFB7DEE8"/>
      <rgbColor rgb="FFFF99CC"/>
      <rgbColor rgb="FFCC99FF"/>
      <rgbColor rgb="FFFCD5B5"/>
      <rgbColor rgb="FF3366FF"/>
      <rgbColor rgb="FF33CCCC"/>
      <rgbColor rgb="FF99CC00"/>
      <rgbColor rgb="FFE3D200"/>
      <rgbColor rgb="FFFF9900"/>
      <rgbColor rgb="FFFF6600"/>
      <rgbColor rgb="FF558ED5"/>
      <rgbColor rgb="FF969696"/>
      <rgbColor rgb="FF003366"/>
      <rgbColor rgb="FF00A65D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9" zoomScaleNormal="100" workbookViewId="0">
      <selection activeCell="B12" sqref="B12"/>
    </sheetView>
  </sheetViews>
  <sheetFormatPr defaultRowHeight="12.75" x14ac:dyDescent="0.2"/>
  <cols>
    <col min="1" max="1" width="34.85546875" customWidth="1"/>
    <col min="2" max="2" width="24" customWidth="1"/>
    <col min="3" max="1025" width="8.7109375" customWidth="1"/>
  </cols>
  <sheetData>
    <row r="1" spans="1:7" ht="26.25" x14ac:dyDescent="0.4">
      <c r="A1" s="1" t="s">
        <v>0</v>
      </c>
      <c r="B1" s="2"/>
      <c r="C1" s="2"/>
      <c r="D1" s="2"/>
      <c r="E1" s="2"/>
      <c r="F1" s="2"/>
      <c r="G1" s="2"/>
    </row>
    <row r="2" spans="1:7" ht="15" x14ac:dyDescent="0.2">
      <c r="A2" s="3" t="s">
        <v>1</v>
      </c>
      <c r="B2" s="2"/>
      <c r="C2" s="2"/>
      <c r="D2" s="2"/>
      <c r="E2" s="2"/>
      <c r="F2" s="2"/>
      <c r="G2" s="2"/>
    </row>
    <row r="3" spans="1:7" ht="15" x14ac:dyDescent="0.2">
      <c r="A3" s="3" t="s">
        <v>2</v>
      </c>
      <c r="B3" s="2"/>
      <c r="C3" s="2"/>
      <c r="D3" s="2"/>
      <c r="E3" s="2"/>
      <c r="F3" s="2"/>
      <c r="G3" s="2"/>
    </row>
    <row r="4" spans="1:7" ht="15" x14ac:dyDescent="0.2">
      <c r="A4" s="4"/>
    </row>
    <row r="5" spans="1:7" x14ac:dyDescent="0.2">
      <c r="B5" s="5" t="s">
        <v>3</v>
      </c>
    </row>
    <row r="6" spans="1:7" x14ac:dyDescent="0.2">
      <c r="B6" s="5" t="s">
        <v>4</v>
      </c>
    </row>
    <row r="8" spans="1:7" x14ac:dyDescent="0.2">
      <c r="A8" s="6" t="s">
        <v>5</v>
      </c>
      <c r="B8" s="7" t="s">
        <v>6</v>
      </c>
    </row>
    <row r="9" spans="1:7" x14ac:dyDescent="0.2">
      <c r="A9" s="6" t="s">
        <v>7</v>
      </c>
      <c r="B9" s="8">
        <v>40</v>
      </c>
    </row>
    <row r="10" spans="1:7" x14ac:dyDescent="0.2">
      <c r="A10" s="6" t="s">
        <v>8</v>
      </c>
      <c r="B10" s="8">
        <v>100</v>
      </c>
    </row>
    <row r="11" spans="1:7" x14ac:dyDescent="0.2">
      <c r="A11" s="6" t="s">
        <v>9</v>
      </c>
      <c r="B11" s="9" t="s">
        <v>10</v>
      </c>
    </row>
    <row r="12" spans="1:7" x14ac:dyDescent="0.2">
      <c r="A12" s="6" t="s">
        <v>11</v>
      </c>
      <c r="B12" s="9" t="s">
        <v>65</v>
      </c>
    </row>
    <row r="13" spans="1:7" x14ac:dyDescent="0.2">
      <c r="A13" s="6" t="s">
        <v>13</v>
      </c>
      <c r="B13" s="8">
        <v>24</v>
      </c>
    </row>
    <row r="14" spans="1:7" x14ac:dyDescent="0.2">
      <c r="A14" s="6" t="s">
        <v>14</v>
      </c>
      <c r="B14" s="9" t="s">
        <v>15</v>
      </c>
    </row>
    <row r="15" spans="1:7" x14ac:dyDescent="0.2">
      <c r="A15" s="6"/>
      <c r="B15" s="10"/>
    </row>
    <row r="16" spans="1:7" x14ac:dyDescent="0.2">
      <c r="A16" s="6" t="str">
        <f>data!G13</f>
        <v>А3ДПИ</v>
      </c>
      <c r="B16" s="11">
        <v>0</v>
      </c>
    </row>
    <row r="17" spans="1:2" x14ac:dyDescent="0.2">
      <c r="A17" s="6" t="str">
        <f>data!G14</f>
        <v>А3ДПИ до 2020</v>
      </c>
      <c r="B17" s="11">
        <v>84</v>
      </c>
    </row>
    <row r="18" spans="1:2" x14ac:dyDescent="0.2">
      <c r="A18" s="6" t="str">
        <f>data!G15</f>
        <v>А2ДПИ</v>
      </c>
      <c r="B18" s="11">
        <v>0</v>
      </c>
    </row>
    <row r="19" spans="1:2" x14ac:dyDescent="0.2">
      <c r="A19" s="6" t="str">
        <f>data!G16</f>
        <v>АВИ</v>
      </c>
      <c r="B19" s="11"/>
    </row>
    <row r="20" spans="1:2" x14ac:dyDescent="0.2">
      <c r="A20" s="6" t="str">
        <f>data!G17</f>
        <v>АМК</v>
      </c>
      <c r="B20" s="11">
        <v>0</v>
      </c>
    </row>
    <row r="21" spans="1:2" x14ac:dyDescent="0.2">
      <c r="A21" s="6" t="str">
        <f>data!G18</f>
        <v>АОПИ</v>
      </c>
      <c r="B21" s="11"/>
    </row>
    <row r="22" spans="1:2" x14ac:dyDescent="0.2">
      <c r="A22" s="6" t="str">
        <f>data!G19</f>
        <v>АР1</v>
      </c>
      <c r="B22" s="11">
        <v>0</v>
      </c>
    </row>
    <row r="23" spans="1:2" x14ac:dyDescent="0.2">
      <c r="A23" s="6" t="str">
        <f>data!G20</f>
        <v>АР5</v>
      </c>
      <c r="B23" s="11"/>
    </row>
    <row r="24" spans="1:2" x14ac:dyDescent="0.2">
      <c r="A24" s="6" t="str">
        <f>data!G21</f>
        <v>АР5 (ш3 активен)</v>
      </c>
      <c r="B24" s="11"/>
    </row>
    <row r="25" spans="1:2" x14ac:dyDescent="0.2">
      <c r="A25" s="6" t="str">
        <f>data!G22</f>
        <v>АР-мини</v>
      </c>
      <c r="B25" s="11">
        <v>0</v>
      </c>
    </row>
    <row r="26" spans="1:2" x14ac:dyDescent="0.2">
      <c r="A26" s="6" t="str">
        <f>data!G23</f>
        <v>АТИ</v>
      </c>
      <c r="B26" s="11"/>
    </row>
    <row r="27" spans="1:2" x14ac:dyDescent="0.2">
      <c r="A27" s="6" t="str">
        <f>data!G24</f>
        <v>ИР-п (ИР-о, ИР-пуск)</v>
      </c>
      <c r="B27" s="11">
        <v>7</v>
      </c>
    </row>
    <row r="28" spans="1:2" x14ac:dyDescent="0.2">
      <c r="A28" s="6" t="str">
        <f>data!G25</f>
        <v>ИРС</v>
      </c>
      <c r="B28" s="11">
        <v>0</v>
      </c>
    </row>
    <row r="29" spans="1:2" x14ac:dyDescent="0.2">
      <c r="A29" s="6" t="str">
        <f>data!G26</f>
        <v>ИСМ-22, в т.ч. Исп.1 и исп.2</v>
      </c>
      <c r="B29" s="11">
        <v>3</v>
      </c>
    </row>
    <row r="30" spans="1:2" x14ac:dyDescent="0.2">
      <c r="A30" s="6" t="str">
        <f>data!G27</f>
        <v>ИСМ-220</v>
      </c>
      <c r="B30" s="11"/>
    </row>
    <row r="31" spans="1:2" x14ac:dyDescent="0.2">
      <c r="A31" s="6" t="str">
        <f>data!G28</f>
        <v>ИСМ-220 исп.4</v>
      </c>
      <c r="B31" s="11">
        <v>8</v>
      </c>
    </row>
    <row r="32" spans="1:2" x14ac:dyDescent="0.2">
      <c r="A32" s="6" t="str">
        <f>data!G29</f>
        <v>ИСМ-5</v>
      </c>
      <c r="B32" s="11"/>
    </row>
    <row r="33" spans="1:10" x14ac:dyDescent="0.2">
      <c r="A33" s="6" t="str">
        <f>data!G30</f>
        <v>МКЗ</v>
      </c>
      <c r="B33" s="11">
        <v>0</v>
      </c>
    </row>
    <row r="34" spans="1:10" x14ac:dyDescent="0.2">
      <c r="A34" s="6" t="str">
        <f>data!G31</f>
        <v>МПТ</v>
      </c>
      <c r="B34" s="11">
        <v>0</v>
      </c>
    </row>
    <row r="35" spans="1:10" x14ac:dyDescent="0.2">
      <c r="A35" s="6" t="str">
        <f>data!G32</f>
        <v>ОСЗ</v>
      </c>
      <c r="B35" s="11">
        <v>0</v>
      </c>
    </row>
    <row r="36" spans="1:10" x14ac:dyDescent="0.2">
      <c r="A36" s="6" t="str">
        <f>data!G33</f>
        <v>ОСЗ-08</v>
      </c>
      <c r="B36" s="11"/>
    </row>
    <row r="37" spans="1:10" x14ac:dyDescent="0.2">
      <c r="A37" s="5"/>
    </row>
    <row r="38" spans="1:10" x14ac:dyDescent="0.2">
      <c r="A38" s="6" t="s">
        <v>16</v>
      </c>
      <c r="B38" s="12">
        <f>internal!M55</f>
        <v>410.25641025641028</v>
      </c>
      <c r="C38" t="s">
        <v>17</v>
      </c>
    </row>
    <row r="39" spans="1:10" x14ac:dyDescent="0.2">
      <c r="A39" s="6" t="s">
        <v>18</v>
      </c>
      <c r="B39" s="12">
        <f>internal!O55</f>
        <v>410.25641025641028</v>
      </c>
      <c r="C39" t="s">
        <v>17</v>
      </c>
    </row>
    <row r="40" spans="1:10" x14ac:dyDescent="0.2">
      <c r="A40" s="5"/>
    </row>
    <row r="41" spans="1:10" x14ac:dyDescent="0.2">
      <c r="A41" s="6" t="s">
        <v>19</v>
      </c>
      <c r="B41" s="12">
        <f>internal!A54</f>
        <v>62.100000000000009</v>
      </c>
      <c r="C41" t="s">
        <v>20</v>
      </c>
      <c r="D41" t="s">
        <v>21</v>
      </c>
    </row>
    <row r="42" spans="1:10" x14ac:dyDescent="0.2">
      <c r="A42" s="6" t="s">
        <v>22</v>
      </c>
      <c r="B42" s="13">
        <f>VLOOKUP(B14,data!L3:N5,IF(B13=12,2,3))</f>
        <v>60</v>
      </c>
      <c r="C42" t="s">
        <v>20</v>
      </c>
      <c r="D42" t="s">
        <v>23</v>
      </c>
    </row>
    <row r="43" spans="1:10" x14ac:dyDescent="0.2">
      <c r="A43" s="6"/>
    </row>
    <row r="44" spans="1:10" x14ac:dyDescent="0.2">
      <c r="A44" s="6" t="s">
        <v>24</v>
      </c>
      <c r="B44" s="12" t="str">
        <f>IF(internal!A36&gt;0.8*calc!B10,"суммарный ток устройств в шлейфе превышает возможности выбранного режима","")</f>
        <v/>
      </c>
      <c r="C44" s="12"/>
      <c r="D44" s="12"/>
      <c r="E44" s="12"/>
      <c r="F44" s="12"/>
      <c r="G44" s="12"/>
      <c r="H44" s="12"/>
      <c r="I44" s="12"/>
      <c r="J44" s="12"/>
    </row>
    <row r="45" spans="1:10" x14ac:dyDescent="0.2">
      <c r="A45" s="14"/>
      <c r="B45" s="12" t="str">
        <f>IF(SUM(B16:B36)&gt;255,"суммарное количество устройств в шлейфе превышает возможности аппаратуры","")</f>
        <v/>
      </c>
      <c r="C45" s="12"/>
      <c r="D45" s="12"/>
      <c r="E45" s="12"/>
      <c r="F45" s="12"/>
      <c r="G45" s="12"/>
      <c r="H45" s="12"/>
      <c r="I45" s="12"/>
      <c r="J45" s="12"/>
    </row>
    <row r="46" spans="1:10" x14ac:dyDescent="0.2">
      <c r="A46" s="14"/>
      <c r="B46" s="12" t="str">
        <f>IF(AND(B35+B34&gt;0,OR(B9&lt;&gt;40,B10&lt;&gt;100)),"для работы ОСЗ и МПТ от шлейфа рекомендуется режим 40в/100ма","")</f>
        <v/>
      </c>
      <c r="C46" s="12"/>
      <c r="D46" s="12"/>
      <c r="E46" s="12"/>
      <c r="F46" s="12"/>
      <c r="G46" s="12"/>
      <c r="H46" s="12"/>
      <c r="I46" s="12"/>
      <c r="J46" s="12"/>
    </row>
    <row r="47" spans="1:10" x14ac:dyDescent="0.2">
      <c r="A47" s="14"/>
    </row>
  </sheetData>
  <sheetProtection algorithmName="SHA-512" hashValue="PjBTaSGBI7c3I0ZLaPjXDIiYHdDhLEGlER7rEPDqDD9Mby32oTilmjNxMvR2ZYQPdoR3y56c3yZOFGjYMK7Ekg==" saltValue="YtSI+p6uS669j7JiW0soow==" spinCount="100000" sheet="1" objects="1" scenarios="1"/>
  <pageMargins left="0.7" right="0.7" top="0.75" bottom="0.75" header="0.51180555555555496" footer="0.51180555555555496"/>
  <pageSetup paperSize="9" firstPageNumber="0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>
          <x14:formula1>
            <xm:f>data!$B$1:$B$2</xm:f>
          </x14:formula1>
          <x14:formula2>
            <xm:f>0</xm:f>
          </x14:formula2>
          <xm:sqref>B9</xm:sqref>
        </x14:dataValidation>
        <x14:dataValidation type="list" showInputMessage="1" showErrorMessage="1">
          <x14:formula1>
            <xm:f>data!$B$4:$B$5</xm:f>
          </x14:formula1>
          <x14:formula2>
            <xm:f>0</xm:f>
          </x14:formula2>
          <xm:sqref>B10</xm:sqref>
        </x14:dataValidation>
        <x14:dataValidation type="list" showInputMessage="1" showErrorMessage="1">
          <x14:formula1>
            <xm:f>data!$B$7:$B$8</xm:f>
          </x14:formula1>
          <x14:formula2>
            <xm:f>0</xm:f>
          </x14:formula2>
          <xm:sqref>B11</xm:sqref>
        </x14:dataValidation>
        <x14:dataValidation type="list" allowBlank="1" showInputMessage="1" showErrorMessage="1">
          <x14:formula1>
            <xm:f>data!$E$1:$E$2</xm:f>
          </x14:formula1>
          <x14:formula2>
            <xm:f>0</xm:f>
          </x14:formula2>
          <xm:sqref>B8</xm:sqref>
        </x14:dataValidation>
        <x14:dataValidation type="list" showInputMessage="1" showErrorMessage="1">
          <x14:formula1>
            <xm:f>data!$E$4:$E$5</xm:f>
          </x14:formula1>
          <x14:formula2>
            <xm:f>0</xm:f>
          </x14:formula2>
          <xm:sqref>B13</xm:sqref>
        </x14:dataValidation>
        <x14:dataValidation type="list" showInputMessage="1" showErrorMessage="1">
          <x14:formula1>
            <xm:f>data!$E$7:$E$9</xm:f>
          </x14:formula1>
          <x14:formula2>
            <xm:f>0</xm:f>
          </x14:formula2>
          <xm:sqref>B14</xm:sqref>
        </x14:dataValidation>
        <x14:dataValidation type="list" showInputMessage="1" showErrorMessage="1">
          <x14:formula1>
            <xm:f>data!$A$12:$A$62</xm:f>
          </x14:formula1>
          <xm:sqref>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Normal="100" workbookViewId="0">
      <selection activeCell="Q28" sqref="Q28"/>
    </sheetView>
  </sheetViews>
  <sheetFormatPr defaultRowHeight="12.75" x14ac:dyDescent="0.2"/>
  <cols>
    <col min="1" max="1" width="31.42578125" customWidth="1"/>
    <col min="2" max="6" width="8.7109375" customWidth="1"/>
    <col min="7" max="7" width="26" customWidth="1"/>
    <col min="8" max="1025" width="8.7109375" customWidth="1"/>
  </cols>
  <sheetData>
    <row r="1" spans="1:14" x14ac:dyDescent="0.2">
      <c r="A1" s="15" t="s">
        <v>25</v>
      </c>
      <c r="B1" s="16">
        <v>20</v>
      </c>
      <c r="D1" s="2" t="s">
        <v>5</v>
      </c>
      <c r="E1" s="2" t="s">
        <v>6</v>
      </c>
    </row>
    <row r="2" spans="1:14" x14ac:dyDescent="0.2">
      <c r="A2" s="15"/>
      <c r="B2" s="16">
        <v>40</v>
      </c>
      <c r="D2" s="2"/>
      <c r="E2" s="2" t="s">
        <v>26</v>
      </c>
      <c r="M2" t="s">
        <v>27</v>
      </c>
      <c r="N2" t="s">
        <v>28</v>
      </c>
    </row>
    <row r="3" spans="1:14" x14ac:dyDescent="0.2">
      <c r="A3" s="14"/>
      <c r="L3" t="s">
        <v>15</v>
      </c>
      <c r="M3">
        <v>100</v>
      </c>
      <c r="N3">
        <v>60</v>
      </c>
    </row>
    <row r="4" spans="1:14" x14ac:dyDescent="0.2">
      <c r="A4" s="17" t="s">
        <v>29</v>
      </c>
      <c r="B4" s="18">
        <v>40</v>
      </c>
      <c r="D4" t="s">
        <v>30</v>
      </c>
      <c r="E4">
        <v>12</v>
      </c>
      <c r="L4" t="s">
        <v>31</v>
      </c>
      <c r="M4">
        <v>250</v>
      </c>
      <c r="N4">
        <v>200</v>
      </c>
    </row>
    <row r="5" spans="1:14" x14ac:dyDescent="0.2">
      <c r="A5" s="17"/>
      <c r="B5" s="18">
        <v>100</v>
      </c>
      <c r="E5">
        <v>24</v>
      </c>
      <c r="L5" t="s">
        <v>32</v>
      </c>
      <c r="M5">
        <v>120</v>
      </c>
      <c r="N5">
        <v>70</v>
      </c>
    </row>
    <row r="6" spans="1:14" x14ac:dyDescent="0.2">
      <c r="A6" s="14"/>
    </row>
    <row r="7" spans="1:14" x14ac:dyDescent="0.2">
      <c r="A7" s="19" t="s">
        <v>9</v>
      </c>
      <c r="B7" s="20" t="s">
        <v>10</v>
      </c>
      <c r="D7" t="s">
        <v>33</v>
      </c>
      <c r="E7" t="s">
        <v>15</v>
      </c>
    </row>
    <row r="8" spans="1:14" x14ac:dyDescent="0.2">
      <c r="A8" s="20"/>
      <c r="B8" s="20" t="s">
        <v>34</v>
      </c>
      <c r="E8" t="s">
        <v>31</v>
      </c>
    </row>
    <row r="9" spans="1:14" x14ac:dyDescent="0.2">
      <c r="E9" t="s">
        <v>32</v>
      </c>
    </row>
    <row r="11" spans="1:14" ht="14.25" x14ac:dyDescent="0.2">
      <c r="A11" s="21"/>
      <c r="B11" s="21" t="s">
        <v>35</v>
      </c>
      <c r="C11" s="21" t="s">
        <v>36</v>
      </c>
      <c r="G11" s="22" t="s">
        <v>37</v>
      </c>
      <c r="H11" s="23" t="s">
        <v>38</v>
      </c>
      <c r="I11" s="23"/>
    </row>
    <row r="12" spans="1:14" x14ac:dyDescent="0.2">
      <c r="A12" s="21" t="s">
        <v>39</v>
      </c>
      <c r="B12" s="21">
        <v>192</v>
      </c>
      <c r="C12" s="21">
        <v>66</v>
      </c>
      <c r="G12" s="21"/>
      <c r="H12" s="24" t="s">
        <v>40</v>
      </c>
      <c r="I12" s="24" t="s">
        <v>41</v>
      </c>
      <c r="J12" s="21"/>
    </row>
    <row r="13" spans="1:14" x14ac:dyDescent="0.2">
      <c r="A13" s="21" t="s">
        <v>42</v>
      </c>
      <c r="B13" s="21">
        <v>126</v>
      </c>
      <c r="C13" s="21">
        <v>70</v>
      </c>
      <c r="G13" s="21" t="s">
        <v>43</v>
      </c>
      <c r="H13" s="25">
        <v>0.2</v>
      </c>
      <c r="I13" s="26">
        <v>0</v>
      </c>
      <c r="J13" s="21" t="s">
        <v>44</v>
      </c>
    </row>
    <row r="14" spans="1:14" x14ac:dyDescent="0.2">
      <c r="A14" s="21" t="s">
        <v>45</v>
      </c>
      <c r="B14" s="21">
        <v>75</v>
      </c>
      <c r="C14" s="21">
        <v>77</v>
      </c>
      <c r="G14" s="21" t="s">
        <v>46</v>
      </c>
      <c r="H14" s="25">
        <v>0.2</v>
      </c>
      <c r="I14" s="26">
        <v>0</v>
      </c>
      <c r="J14" s="21"/>
    </row>
    <row r="15" spans="1:14" x14ac:dyDescent="0.2">
      <c r="A15" s="21" t="s">
        <v>47</v>
      </c>
      <c r="B15" s="21">
        <v>51</v>
      </c>
      <c r="C15" s="21">
        <v>80</v>
      </c>
      <c r="G15" s="21" t="s">
        <v>48</v>
      </c>
      <c r="H15" s="25">
        <v>0.15</v>
      </c>
      <c r="I15" s="26">
        <v>0</v>
      </c>
      <c r="J15" s="21"/>
    </row>
    <row r="16" spans="1:14" x14ac:dyDescent="0.2">
      <c r="A16" s="21" t="s">
        <v>49</v>
      </c>
      <c r="B16" s="21">
        <v>38</v>
      </c>
      <c r="C16" s="21">
        <v>85</v>
      </c>
      <c r="G16" s="21" t="s">
        <v>50</v>
      </c>
      <c r="H16" s="25">
        <v>2.7</v>
      </c>
      <c r="I16" s="26">
        <v>0</v>
      </c>
      <c r="J16" s="21"/>
    </row>
    <row r="17" spans="1:10" x14ac:dyDescent="0.2">
      <c r="A17" s="21" t="s">
        <v>51</v>
      </c>
      <c r="B17" s="21">
        <v>25</v>
      </c>
      <c r="C17" s="21">
        <v>90</v>
      </c>
      <c r="G17" s="21" t="s">
        <v>52</v>
      </c>
      <c r="H17" s="27">
        <v>0.19</v>
      </c>
      <c r="I17" s="28">
        <v>0</v>
      </c>
      <c r="J17" s="21" t="s">
        <v>44</v>
      </c>
    </row>
    <row r="18" spans="1:10" x14ac:dyDescent="0.2">
      <c r="A18" s="21" t="s">
        <v>53</v>
      </c>
      <c r="B18" s="21">
        <v>16</v>
      </c>
      <c r="C18" s="21">
        <v>95</v>
      </c>
      <c r="G18" s="21" t="s">
        <v>54</v>
      </c>
      <c r="H18" s="25">
        <v>0.48</v>
      </c>
      <c r="I18" s="26">
        <v>0</v>
      </c>
      <c r="J18" s="21"/>
    </row>
    <row r="19" spans="1:10" x14ac:dyDescent="0.2">
      <c r="A19" s="21" t="s">
        <v>55</v>
      </c>
      <c r="B19" s="21">
        <v>200</v>
      </c>
      <c r="C19" s="21">
        <v>66</v>
      </c>
      <c r="G19" s="21" t="s">
        <v>56</v>
      </c>
      <c r="H19" s="27">
        <v>3</v>
      </c>
      <c r="I19" s="28">
        <v>0</v>
      </c>
      <c r="J19" s="21"/>
    </row>
    <row r="20" spans="1:10" x14ac:dyDescent="0.2">
      <c r="A20" s="21" t="s">
        <v>57</v>
      </c>
      <c r="B20" s="21">
        <v>150</v>
      </c>
      <c r="C20" s="21">
        <v>70</v>
      </c>
      <c r="G20" s="21" t="s">
        <v>58</v>
      </c>
      <c r="H20" s="25">
        <v>0.2</v>
      </c>
      <c r="I20" s="26">
        <v>0</v>
      </c>
      <c r="J20" s="21"/>
    </row>
    <row r="21" spans="1:10" x14ac:dyDescent="0.2">
      <c r="A21" s="21" t="s">
        <v>59</v>
      </c>
      <c r="B21" s="21">
        <v>192</v>
      </c>
      <c r="C21" s="21">
        <v>180</v>
      </c>
      <c r="G21" s="21" t="s">
        <v>60</v>
      </c>
      <c r="H21" s="25">
        <v>3</v>
      </c>
      <c r="I21" s="26">
        <v>0</v>
      </c>
      <c r="J21" s="21"/>
    </row>
    <row r="22" spans="1:10" x14ac:dyDescent="0.2">
      <c r="A22" s="21" t="s">
        <v>61</v>
      </c>
      <c r="B22" s="21">
        <v>126</v>
      </c>
      <c r="C22" s="21">
        <v>185</v>
      </c>
      <c r="G22" s="21" t="s">
        <v>62</v>
      </c>
      <c r="H22" s="25">
        <v>0.2</v>
      </c>
      <c r="I22" s="26">
        <v>0</v>
      </c>
      <c r="J22" s="21"/>
    </row>
    <row r="23" spans="1:10" x14ac:dyDescent="0.2">
      <c r="A23" s="21" t="s">
        <v>63</v>
      </c>
      <c r="B23" s="21">
        <v>75</v>
      </c>
      <c r="C23" s="21">
        <v>190</v>
      </c>
      <c r="G23" s="21" t="s">
        <v>64</v>
      </c>
      <c r="H23" s="27">
        <v>0.15</v>
      </c>
      <c r="I23" s="28">
        <v>0</v>
      </c>
      <c r="J23" s="21"/>
    </row>
    <row r="24" spans="1:10" x14ac:dyDescent="0.2">
      <c r="A24" s="21" t="s">
        <v>65</v>
      </c>
      <c r="B24" s="21">
        <v>51</v>
      </c>
      <c r="C24" s="21">
        <v>195</v>
      </c>
      <c r="G24" s="21" t="s">
        <v>66</v>
      </c>
      <c r="H24" s="25">
        <v>0.15</v>
      </c>
      <c r="I24" s="26">
        <v>0</v>
      </c>
      <c r="J24" s="21"/>
    </row>
    <row r="25" spans="1:10" x14ac:dyDescent="0.2">
      <c r="A25" s="21" t="s">
        <v>67</v>
      </c>
      <c r="B25" s="21">
        <v>38</v>
      </c>
      <c r="C25" s="21">
        <v>200</v>
      </c>
      <c r="G25" s="21" t="s">
        <v>68</v>
      </c>
      <c r="H25" s="25">
        <v>1</v>
      </c>
      <c r="I25" s="26">
        <v>0</v>
      </c>
      <c r="J25" s="21"/>
    </row>
    <row r="26" spans="1:10" x14ac:dyDescent="0.2">
      <c r="A26" s="21" t="s">
        <v>69</v>
      </c>
      <c r="B26" s="21">
        <v>25</v>
      </c>
      <c r="C26" s="21">
        <v>205</v>
      </c>
      <c r="G26" s="21" t="s">
        <v>70</v>
      </c>
      <c r="H26" s="25">
        <v>1.2</v>
      </c>
      <c r="I26" s="26">
        <v>0</v>
      </c>
      <c r="J26" s="21"/>
    </row>
    <row r="27" spans="1:10" x14ac:dyDescent="0.2">
      <c r="A27" s="21" t="s">
        <v>71</v>
      </c>
      <c r="B27" s="21">
        <v>16</v>
      </c>
      <c r="C27" s="21">
        <v>210</v>
      </c>
      <c r="G27" s="21" t="s">
        <v>72</v>
      </c>
      <c r="H27" s="27">
        <v>0.2</v>
      </c>
      <c r="I27" s="28">
        <v>0</v>
      </c>
      <c r="J27" s="21"/>
    </row>
    <row r="28" spans="1:10" x14ac:dyDescent="0.2">
      <c r="A28" s="21" t="s">
        <v>73</v>
      </c>
      <c r="B28" s="21">
        <v>200</v>
      </c>
      <c r="C28" s="21">
        <v>185</v>
      </c>
      <c r="G28" s="21" t="s">
        <v>74</v>
      </c>
      <c r="H28" s="25">
        <v>1.2</v>
      </c>
      <c r="I28" s="26">
        <v>0</v>
      </c>
      <c r="J28" s="21"/>
    </row>
    <row r="29" spans="1:10" x14ac:dyDescent="0.2">
      <c r="A29" s="21" t="s">
        <v>75</v>
      </c>
      <c r="B29" s="21">
        <v>150</v>
      </c>
      <c r="C29" s="21">
        <v>190</v>
      </c>
      <c r="G29" s="21" t="s">
        <v>76</v>
      </c>
      <c r="H29" s="25">
        <v>1</v>
      </c>
      <c r="I29" s="26">
        <v>0</v>
      </c>
      <c r="J29" s="21"/>
    </row>
    <row r="30" spans="1:10" x14ac:dyDescent="0.2">
      <c r="A30" s="21" t="s">
        <v>77</v>
      </c>
      <c r="B30" s="21">
        <f>2*95</f>
        <v>190</v>
      </c>
      <c r="C30" s="21">
        <v>75</v>
      </c>
      <c r="G30" s="21" t="s">
        <v>78</v>
      </c>
      <c r="H30" s="25">
        <v>0.2</v>
      </c>
      <c r="I30" s="26">
        <v>0</v>
      </c>
      <c r="J30" s="21"/>
    </row>
    <row r="31" spans="1:10" x14ac:dyDescent="0.2">
      <c r="A31" s="21" t="s">
        <v>79</v>
      </c>
      <c r="B31" s="21">
        <f>2*95</f>
        <v>190</v>
      </c>
      <c r="C31" s="21">
        <v>185</v>
      </c>
      <c r="G31" s="21" t="s">
        <v>80</v>
      </c>
      <c r="H31" s="25">
        <v>0.5</v>
      </c>
      <c r="I31" s="26">
        <v>30</v>
      </c>
      <c r="J31" s="21"/>
    </row>
    <row r="32" spans="1:10" x14ac:dyDescent="0.2">
      <c r="A32" s="21" t="s">
        <v>81</v>
      </c>
      <c r="B32" s="21">
        <f>2*58</f>
        <v>116</v>
      </c>
      <c r="C32" s="21">
        <v>75</v>
      </c>
      <c r="G32" s="21" t="s">
        <v>82</v>
      </c>
      <c r="H32" s="25">
        <v>0.2</v>
      </c>
      <c r="I32" s="26">
        <v>10</v>
      </c>
      <c r="J32" s="21" t="s">
        <v>44</v>
      </c>
    </row>
    <row r="33" spans="1:10" x14ac:dyDescent="0.2">
      <c r="A33" s="21" t="s">
        <v>83</v>
      </c>
      <c r="B33" s="21">
        <f>2*58</f>
        <v>116</v>
      </c>
      <c r="C33" s="21">
        <v>185</v>
      </c>
      <c r="G33" s="21" t="s">
        <v>84</v>
      </c>
      <c r="H33" s="25">
        <v>0.3</v>
      </c>
      <c r="I33" s="26">
        <v>0</v>
      </c>
      <c r="J33" s="21"/>
    </row>
    <row r="34" spans="1:10" x14ac:dyDescent="0.2">
      <c r="A34" s="21" t="s">
        <v>85</v>
      </c>
      <c r="B34" s="21">
        <f>2*36</f>
        <v>72</v>
      </c>
      <c r="C34" s="21">
        <v>75</v>
      </c>
    </row>
    <row r="35" spans="1:10" x14ac:dyDescent="0.2">
      <c r="A35" s="21" t="s">
        <v>86</v>
      </c>
      <c r="B35" s="21">
        <f>2*36</f>
        <v>72</v>
      </c>
      <c r="C35" s="21">
        <v>185</v>
      </c>
    </row>
    <row r="36" spans="1:10" x14ac:dyDescent="0.2">
      <c r="A36" s="21" t="s">
        <v>87</v>
      </c>
      <c r="B36" s="21">
        <f>2*24.5</f>
        <v>49</v>
      </c>
      <c r="C36" s="21">
        <v>75</v>
      </c>
      <c r="G36" s="29" t="s">
        <v>88</v>
      </c>
      <c r="H36" s="30" t="s">
        <v>89</v>
      </c>
    </row>
    <row r="37" spans="1:10" x14ac:dyDescent="0.2">
      <c r="A37" s="21" t="s">
        <v>90</v>
      </c>
      <c r="B37" s="21">
        <f>2*24.5</f>
        <v>49</v>
      </c>
      <c r="C37" s="21">
        <v>185</v>
      </c>
    </row>
    <row r="38" spans="1:10" x14ac:dyDescent="0.2">
      <c r="A38" s="21" t="s">
        <v>91</v>
      </c>
      <c r="B38" s="21">
        <f>2*18.1</f>
        <v>36.200000000000003</v>
      </c>
      <c r="C38" s="21">
        <v>75</v>
      </c>
    </row>
    <row r="39" spans="1:10" x14ac:dyDescent="0.2">
      <c r="A39" s="21" t="s">
        <v>92</v>
      </c>
      <c r="B39" s="21">
        <f>2*18.1</f>
        <v>36.200000000000003</v>
      </c>
      <c r="C39" s="21">
        <v>185</v>
      </c>
    </row>
    <row r="40" spans="1:10" x14ac:dyDescent="0.2">
      <c r="A40" s="21" t="s">
        <v>93</v>
      </c>
      <c r="B40" s="21">
        <f>2*12.1</f>
        <v>24.2</v>
      </c>
      <c r="C40" s="21">
        <v>75</v>
      </c>
    </row>
    <row r="41" spans="1:10" x14ac:dyDescent="0.2">
      <c r="A41" s="21" t="s">
        <v>94</v>
      </c>
      <c r="B41" s="21">
        <f>2*12.1</f>
        <v>24.2</v>
      </c>
      <c r="C41" s="21">
        <v>185</v>
      </c>
    </row>
    <row r="42" spans="1:10" x14ac:dyDescent="0.2">
      <c r="A42" s="21" t="s">
        <v>95</v>
      </c>
      <c r="B42" s="21">
        <f>2*7.4</f>
        <v>14.8</v>
      </c>
      <c r="C42" s="21">
        <v>75</v>
      </c>
    </row>
    <row r="43" spans="1:10" x14ac:dyDescent="0.2">
      <c r="A43" s="21" t="s">
        <v>96</v>
      </c>
      <c r="B43" s="21">
        <f>2*7.4</f>
        <v>14.8</v>
      </c>
      <c r="C43" s="21">
        <v>185</v>
      </c>
    </row>
    <row r="44" spans="1:10" x14ac:dyDescent="0.2">
      <c r="A44" s="21" t="s">
        <v>97</v>
      </c>
      <c r="B44" s="21">
        <v>194</v>
      </c>
      <c r="C44" s="21">
        <v>56</v>
      </c>
    </row>
    <row r="45" spans="1:10" x14ac:dyDescent="0.2">
      <c r="A45" s="21" t="s">
        <v>98</v>
      </c>
      <c r="B45" s="21">
        <v>78</v>
      </c>
      <c r="C45" s="21">
        <v>60</v>
      </c>
    </row>
    <row r="46" spans="1:10" x14ac:dyDescent="0.2">
      <c r="A46" s="21" t="s">
        <v>99</v>
      </c>
      <c r="B46" s="21">
        <v>52</v>
      </c>
      <c r="C46" s="21">
        <v>65</v>
      </c>
    </row>
    <row r="47" spans="1:10" x14ac:dyDescent="0.2">
      <c r="A47" s="21" t="s">
        <v>100</v>
      </c>
      <c r="B47" s="21">
        <v>39</v>
      </c>
      <c r="C47" s="21">
        <v>70</v>
      </c>
    </row>
    <row r="48" spans="1:10" x14ac:dyDescent="0.2">
      <c r="A48" s="21" t="s">
        <v>101</v>
      </c>
      <c r="B48" s="21">
        <v>27</v>
      </c>
      <c r="C48" s="21">
        <v>75</v>
      </c>
    </row>
    <row r="49" spans="1:3" x14ac:dyDescent="0.2">
      <c r="A49" s="21" t="s">
        <v>12</v>
      </c>
      <c r="B49" s="21">
        <v>178</v>
      </c>
      <c r="C49" s="21">
        <v>44</v>
      </c>
    </row>
    <row r="50" spans="1:3" x14ac:dyDescent="0.2">
      <c r="A50" s="21" t="s">
        <v>102</v>
      </c>
      <c r="B50" s="21">
        <v>114</v>
      </c>
      <c r="C50" s="21">
        <v>48</v>
      </c>
    </row>
    <row r="51" spans="1:3" x14ac:dyDescent="0.2">
      <c r="A51" s="21" t="s">
        <v>103</v>
      </c>
      <c r="B51" s="21">
        <v>75</v>
      </c>
      <c r="C51" s="21">
        <v>50</v>
      </c>
    </row>
    <row r="52" spans="1:3" x14ac:dyDescent="0.2">
      <c r="A52" s="21" t="s">
        <v>104</v>
      </c>
      <c r="B52" s="21">
        <v>51</v>
      </c>
      <c r="C52" s="21">
        <v>53</v>
      </c>
    </row>
    <row r="53" spans="1:3" x14ac:dyDescent="0.2">
      <c r="A53" s="21" t="s">
        <v>105</v>
      </c>
      <c r="B53" s="21">
        <v>38</v>
      </c>
      <c r="C53" s="21">
        <v>56</v>
      </c>
    </row>
    <row r="54" spans="1:3" s="31" customFormat="1" x14ac:dyDescent="0.2">
      <c r="A54" s="21" t="s">
        <v>106</v>
      </c>
      <c r="B54" s="21">
        <v>25</v>
      </c>
      <c r="C54" s="21">
        <v>58</v>
      </c>
    </row>
    <row r="55" spans="1:3" x14ac:dyDescent="0.2">
      <c r="A55" s="21" t="s">
        <v>107</v>
      </c>
      <c r="B55" s="21">
        <v>198</v>
      </c>
      <c r="C55" s="21">
        <v>55</v>
      </c>
    </row>
    <row r="56" spans="1:3" x14ac:dyDescent="0.2">
      <c r="A56" s="21" t="s">
        <v>108</v>
      </c>
      <c r="B56" s="21">
        <v>114</v>
      </c>
      <c r="C56" s="21">
        <v>63</v>
      </c>
    </row>
    <row r="57" spans="1:3" x14ac:dyDescent="0.2">
      <c r="A57" s="21" t="s">
        <v>109</v>
      </c>
      <c r="B57" s="21">
        <v>75</v>
      </c>
      <c r="C57" s="21">
        <v>82</v>
      </c>
    </row>
    <row r="58" spans="1:3" x14ac:dyDescent="0.2">
      <c r="A58" s="21" t="s">
        <v>110</v>
      </c>
      <c r="B58" s="21">
        <v>49</v>
      </c>
      <c r="C58" s="21">
        <v>92</v>
      </c>
    </row>
    <row r="59" spans="1:3" x14ac:dyDescent="0.2">
      <c r="A59" s="21" t="s">
        <v>111</v>
      </c>
      <c r="B59" s="21">
        <v>36</v>
      </c>
      <c r="C59" s="21">
        <v>100</v>
      </c>
    </row>
    <row r="60" spans="1:3" x14ac:dyDescent="0.2">
      <c r="A60" s="21" t="s">
        <v>112</v>
      </c>
      <c r="B60" s="21">
        <v>24</v>
      </c>
      <c r="C60" s="21">
        <v>102</v>
      </c>
    </row>
    <row r="61" spans="1:3" x14ac:dyDescent="0.2">
      <c r="A61" s="21" t="s">
        <v>147</v>
      </c>
      <c r="B61" s="21">
        <v>25.5</v>
      </c>
      <c r="C61" s="21">
        <v>80</v>
      </c>
    </row>
    <row r="62" spans="1:3" x14ac:dyDescent="0.2">
      <c r="A62" s="21" t="s">
        <v>148</v>
      </c>
      <c r="B62" s="21">
        <v>25.5</v>
      </c>
      <c r="C62" s="21">
        <v>70</v>
      </c>
    </row>
    <row r="63" spans="1:3" x14ac:dyDescent="0.2">
      <c r="A63" s="21"/>
      <c r="B63" s="21"/>
      <c r="C63" s="21"/>
    </row>
  </sheetData>
  <sheetProtection algorithmName="SHA-512" hashValue="TH8rIncP3SLE9nVK3N6tEEgMHaB9X/8K85EZ80kRjaqN7TjctPSEZX6gni6ulc1Y6k4mE3z5YveXZj8JPeWocA==" saltValue="RL/Btw0bYvJYg14AWE3N7w==" spinCount="100000" sheet="1" objects="1" scenarios="1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5"/>
  <sheetViews>
    <sheetView zoomScaleNormal="100" workbookViewId="0">
      <selection activeCell="A49" sqref="A49"/>
    </sheetView>
  </sheetViews>
  <sheetFormatPr defaultRowHeight="12.75" x14ac:dyDescent="0.2"/>
  <cols>
    <col min="1" max="1025" width="8.7109375" customWidth="1"/>
  </cols>
  <sheetData>
    <row r="2" spans="4:15" x14ac:dyDescent="0.2">
      <c r="D2" t="s">
        <v>113</v>
      </c>
      <c r="F2" s="32"/>
      <c r="G2" s="32"/>
      <c r="H2" t="s">
        <v>114</v>
      </c>
      <c r="I2" t="s">
        <v>115</v>
      </c>
    </row>
    <row r="3" spans="4:15" x14ac:dyDescent="0.2">
      <c r="D3" t="s">
        <v>116</v>
      </c>
      <c r="E3" t="s">
        <v>117</v>
      </c>
      <c r="F3" s="32">
        <v>0.5</v>
      </c>
      <c r="G3" s="32" t="s">
        <v>118</v>
      </c>
      <c r="H3" t="s">
        <v>119</v>
      </c>
      <c r="I3" s="33" t="s">
        <v>117</v>
      </c>
      <c r="J3" s="32">
        <v>0.5</v>
      </c>
      <c r="K3" s="33" t="s">
        <v>118</v>
      </c>
    </row>
    <row r="4" spans="4:15" x14ac:dyDescent="0.2">
      <c r="E4" s="34" t="s">
        <v>120</v>
      </c>
      <c r="F4" s="34"/>
      <c r="G4" s="34"/>
    </row>
    <row r="5" spans="4:15" x14ac:dyDescent="0.2">
      <c r="D5" s="35" t="s">
        <v>121</v>
      </c>
      <c r="E5" s="34">
        <v>300</v>
      </c>
      <c r="F5" s="34">
        <v>300</v>
      </c>
      <c r="G5" s="34">
        <v>300</v>
      </c>
      <c r="H5" s="36">
        <v>300</v>
      </c>
      <c r="I5" s="37">
        <v>300</v>
      </c>
      <c r="J5" s="37">
        <v>250</v>
      </c>
      <c r="K5" s="37">
        <v>150</v>
      </c>
      <c r="M5" s="38">
        <f t="shared" ref="M5:O12" si="0">MIN(IF($A$39,$H5,1000),IF($A$42,I5,1000),E5)</f>
        <v>300</v>
      </c>
      <c r="N5" s="38">
        <f t="shared" si="0"/>
        <v>250</v>
      </c>
      <c r="O5" s="38">
        <f t="shared" si="0"/>
        <v>150</v>
      </c>
    </row>
    <row r="6" spans="4:15" x14ac:dyDescent="0.2">
      <c r="D6" s="35" t="s">
        <v>122</v>
      </c>
      <c r="E6" s="34">
        <v>300</v>
      </c>
      <c r="F6" s="34">
        <v>200</v>
      </c>
      <c r="G6" s="34">
        <v>200</v>
      </c>
      <c r="H6" s="36">
        <v>200</v>
      </c>
      <c r="I6" s="37">
        <v>300</v>
      </c>
      <c r="J6" s="37">
        <v>200</v>
      </c>
      <c r="K6" s="37">
        <v>200</v>
      </c>
      <c r="M6" s="38">
        <f t="shared" si="0"/>
        <v>200</v>
      </c>
      <c r="N6" s="38">
        <f t="shared" si="0"/>
        <v>200</v>
      </c>
      <c r="O6" s="38">
        <f t="shared" si="0"/>
        <v>200</v>
      </c>
    </row>
    <row r="7" spans="4:15" x14ac:dyDescent="0.2">
      <c r="D7" s="35" t="s">
        <v>123</v>
      </c>
      <c r="E7" s="34">
        <v>80</v>
      </c>
      <c r="F7" s="34">
        <v>80</v>
      </c>
      <c r="G7" s="34">
        <v>80</v>
      </c>
      <c r="H7" s="36">
        <v>80</v>
      </c>
      <c r="I7" s="37">
        <v>80</v>
      </c>
      <c r="J7" s="37">
        <v>80</v>
      </c>
      <c r="K7" s="37">
        <v>60</v>
      </c>
      <c r="M7" s="38">
        <f t="shared" si="0"/>
        <v>80</v>
      </c>
      <c r="N7" s="38">
        <f t="shared" si="0"/>
        <v>80</v>
      </c>
      <c r="O7" s="38">
        <f t="shared" si="0"/>
        <v>60</v>
      </c>
    </row>
    <row r="8" spans="4:15" x14ac:dyDescent="0.2">
      <c r="D8" s="35" t="s">
        <v>124</v>
      </c>
      <c r="E8" s="34">
        <v>200</v>
      </c>
      <c r="F8" s="34">
        <v>200</v>
      </c>
      <c r="G8" s="34">
        <v>200</v>
      </c>
      <c r="H8" s="36">
        <v>200</v>
      </c>
      <c r="I8" s="37">
        <v>200</v>
      </c>
      <c r="J8" s="37">
        <v>200</v>
      </c>
      <c r="K8" s="37">
        <v>200</v>
      </c>
      <c r="M8" s="38">
        <f t="shared" si="0"/>
        <v>200</v>
      </c>
      <c r="N8" s="38">
        <f t="shared" si="0"/>
        <v>200</v>
      </c>
      <c r="O8" s="38">
        <f t="shared" si="0"/>
        <v>200</v>
      </c>
    </row>
    <row r="9" spans="4:15" x14ac:dyDescent="0.2">
      <c r="D9" s="39" t="s">
        <v>125</v>
      </c>
      <c r="E9" s="34">
        <v>500</v>
      </c>
      <c r="F9" s="34">
        <v>500</v>
      </c>
      <c r="G9" s="34">
        <v>500</v>
      </c>
      <c r="H9" s="36">
        <v>300</v>
      </c>
      <c r="I9" s="37">
        <v>300</v>
      </c>
      <c r="J9" s="37">
        <v>250</v>
      </c>
      <c r="K9" s="37">
        <v>150</v>
      </c>
      <c r="M9" s="38">
        <f t="shared" si="0"/>
        <v>300</v>
      </c>
      <c r="N9" s="38">
        <f t="shared" si="0"/>
        <v>250</v>
      </c>
      <c r="O9" s="38">
        <f t="shared" si="0"/>
        <v>150</v>
      </c>
    </row>
    <row r="10" spans="4:15" x14ac:dyDescent="0.2">
      <c r="D10" s="39" t="s">
        <v>126</v>
      </c>
      <c r="E10" s="34">
        <v>300</v>
      </c>
      <c r="F10" s="34">
        <v>200</v>
      </c>
      <c r="G10" s="34">
        <v>200</v>
      </c>
      <c r="H10" s="36">
        <v>200</v>
      </c>
      <c r="I10" s="37">
        <v>300</v>
      </c>
      <c r="J10" s="37">
        <v>200</v>
      </c>
      <c r="K10" s="37">
        <v>200</v>
      </c>
      <c r="M10" s="38">
        <f t="shared" si="0"/>
        <v>200</v>
      </c>
      <c r="N10" s="38">
        <f t="shared" si="0"/>
        <v>200</v>
      </c>
      <c r="O10" s="38">
        <f t="shared" si="0"/>
        <v>200</v>
      </c>
    </row>
    <row r="11" spans="4:15" x14ac:dyDescent="0.2">
      <c r="D11" s="39" t="s">
        <v>127</v>
      </c>
      <c r="E11" s="34">
        <v>400</v>
      </c>
      <c r="F11" s="34">
        <v>400</v>
      </c>
      <c r="G11" s="34">
        <v>200</v>
      </c>
      <c r="H11" s="36">
        <v>80</v>
      </c>
      <c r="I11" s="37">
        <v>80</v>
      </c>
      <c r="J11" s="37">
        <v>80</v>
      </c>
      <c r="K11" s="37">
        <v>60</v>
      </c>
      <c r="M11" s="38">
        <f t="shared" si="0"/>
        <v>80</v>
      </c>
      <c r="N11" s="38">
        <f t="shared" si="0"/>
        <v>80</v>
      </c>
      <c r="O11" s="38">
        <f t="shared" si="0"/>
        <v>60</v>
      </c>
    </row>
    <row r="12" spans="4:15" x14ac:dyDescent="0.2">
      <c r="D12" s="39" t="s">
        <v>128</v>
      </c>
      <c r="E12" s="34">
        <v>500</v>
      </c>
      <c r="F12" s="34">
        <v>500</v>
      </c>
      <c r="G12" s="34">
        <v>500</v>
      </c>
      <c r="H12" s="36">
        <v>200</v>
      </c>
      <c r="I12" s="37">
        <v>200</v>
      </c>
      <c r="J12" s="37">
        <v>200</v>
      </c>
      <c r="K12" s="37">
        <v>200</v>
      </c>
      <c r="M12" s="38">
        <f t="shared" si="0"/>
        <v>200</v>
      </c>
      <c r="N12" s="38">
        <f t="shared" si="0"/>
        <v>200</v>
      </c>
      <c r="O12" s="38">
        <f t="shared" si="0"/>
        <v>200</v>
      </c>
    </row>
    <row r="13" spans="4:15" x14ac:dyDescent="0.2">
      <c r="E13" s="34"/>
      <c r="F13" s="34"/>
      <c r="G13" s="34"/>
      <c r="H13" s="36"/>
    </row>
    <row r="14" spans="4:15" x14ac:dyDescent="0.2">
      <c r="E14" s="34" t="s">
        <v>129</v>
      </c>
      <c r="F14" s="34"/>
      <c r="G14" s="34"/>
      <c r="H14" s="36"/>
    </row>
    <row r="15" spans="4:15" x14ac:dyDescent="0.2">
      <c r="E15" s="34">
        <v>100</v>
      </c>
      <c r="F15" s="34">
        <v>100</v>
      </c>
      <c r="G15" s="34">
        <v>100</v>
      </c>
      <c r="H15" s="36">
        <v>100</v>
      </c>
      <c r="M15" s="38">
        <f t="shared" ref="M15:O22" si="1">MIN(IF($A$39,$H15,1000),E15)</f>
        <v>100</v>
      </c>
      <c r="N15" s="38">
        <f t="shared" si="1"/>
        <v>100</v>
      </c>
      <c r="O15" s="38">
        <f t="shared" si="1"/>
        <v>100</v>
      </c>
    </row>
    <row r="16" spans="4:15" x14ac:dyDescent="0.2">
      <c r="E16" s="34">
        <v>80</v>
      </c>
      <c r="F16" s="34">
        <v>60</v>
      </c>
      <c r="G16" s="34">
        <v>40</v>
      </c>
      <c r="H16" s="36">
        <v>40</v>
      </c>
      <c r="M16" s="38">
        <f t="shared" si="1"/>
        <v>40</v>
      </c>
      <c r="N16" s="38">
        <f t="shared" si="1"/>
        <v>40</v>
      </c>
      <c r="O16" s="38">
        <f t="shared" si="1"/>
        <v>40</v>
      </c>
    </row>
    <row r="17" spans="5:15" x14ac:dyDescent="0.2">
      <c r="E17" s="34">
        <v>400</v>
      </c>
      <c r="F17" s="34">
        <v>400</v>
      </c>
      <c r="G17" s="34">
        <v>400</v>
      </c>
      <c r="H17" s="36">
        <v>200</v>
      </c>
      <c r="M17" s="38">
        <f t="shared" si="1"/>
        <v>200</v>
      </c>
      <c r="N17" s="38">
        <f t="shared" si="1"/>
        <v>200</v>
      </c>
      <c r="O17" s="38">
        <f t="shared" si="1"/>
        <v>200</v>
      </c>
    </row>
    <row r="18" spans="5:15" x14ac:dyDescent="0.2">
      <c r="E18" s="34">
        <v>400</v>
      </c>
      <c r="F18" s="34">
        <v>400</v>
      </c>
      <c r="G18" s="34">
        <v>200</v>
      </c>
      <c r="H18" s="36">
        <v>80</v>
      </c>
      <c r="M18" s="38">
        <f t="shared" si="1"/>
        <v>80</v>
      </c>
      <c r="N18" s="38">
        <f t="shared" si="1"/>
        <v>80</v>
      </c>
      <c r="O18" s="38">
        <f t="shared" si="1"/>
        <v>80</v>
      </c>
    </row>
    <row r="19" spans="5:15" x14ac:dyDescent="0.2">
      <c r="E19" s="34">
        <v>160</v>
      </c>
      <c r="F19" s="34">
        <v>130</v>
      </c>
      <c r="G19" s="34">
        <v>100</v>
      </c>
      <c r="H19" s="36">
        <v>100</v>
      </c>
      <c r="M19" s="38">
        <f t="shared" si="1"/>
        <v>100</v>
      </c>
      <c r="N19" s="38">
        <f t="shared" si="1"/>
        <v>100</v>
      </c>
      <c r="O19" s="38">
        <f t="shared" si="1"/>
        <v>100</v>
      </c>
    </row>
    <row r="20" spans="5:15" x14ac:dyDescent="0.2">
      <c r="E20" s="34">
        <v>80</v>
      </c>
      <c r="F20" s="34">
        <v>60</v>
      </c>
      <c r="G20" s="34">
        <v>60</v>
      </c>
      <c r="H20" s="36">
        <v>40</v>
      </c>
      <c r="M20" s="38">
        <f t="shared" si="1"/>
        <v>40</v>
      </c>
      <c r="N20" s="38">
        <f t="shared" si="1"/>
        <v>40</v>
      </c>
      <c r="O20" s="38">
        <f t="shared" si="1"/>
        <v>40</v>
      </c>
    </row>
    <row r="21" spans="5:15" x14ac:dyDescent="0.2">
      <c r="E21" s="34">
        <v>400</v>
      </c>
      <c r="F21" s="34">
        <v>400</v>
      </c>
      <c r="G21" s="34">
        <v>400</v>
      </c>
      <c r="H21" s="36">
        <v>200</v>
      </c>
      <c r="M21" s="38">
        <f t="shared" si="1"/>
        <v>200</v>
      </c>
      <c r="N21" s="38">
        <f t="shared" si="1"/>
        <v>200</v>
      </c>
      <c r="O21" s="38">
        <f t="shared" si="1"/>
        <v>200</v>
      </c>
    </row>
    <row r="22" spans="5:15" x14ac:dyDescent="0.2">
      <c r="E22" s="34">
        <v>400</v>
      </c>
      <c r="F22" s="34">
        <v>400</v>
      </c>
      <c r="G22" s="34">
        <v>200</v>
      </c>
      <c r="H22" s="36">
        <v>80</v>
      </c>
      <c r="M22" s="38">
        <f t="shared" si="1"/>
        <v>80</v>
      </c>
      <c r="N22" s="38">
        <f t="shared" si="1"/>
        <v>80</v>
      </c>
      <c r="O22" s="38">
        <f t="shared" si="1"/>
        <v>80</v>
      </c>
    </row>
    <row r="23" spans="5:15" x14ac:dyDescent="0.2">
      <c r="E23" s="34"/>
      <c r="F23" s="34"/>
      <c r="G23" s="34"/>
      <c r="H23" s="36"/>
    </row>
    <row r="24" spans="5:15" x14ac:dyDescent="0.2">
      <c r="E24" s="34" t="s">
        <v>130</v>
      </c>
      <c r="F24" s="34"/>
      <c r="G24" s="34"/>
      <c r="H24" s="36"/>
    </row>
    <row r="25" spans="5:15" x14ac:dyDescent="0.2">
      <c r="E25" s="34">
        <v>36</v>
      </c>
      <c r="F25" s="34">
        <v>36</v>
      </c>
      <c r="G25" s="34">
        <v>36</v>
      </c>
      <c r="H25" s="36">
        <v>36</v>
      </c>
      <c r="M25" s="38">
        <f t="shared" ref="M25:O32" si="2">MIN(IF($A$39,$H25,1000),E25)</f>
        <v>36</v>
      </c>
      <c r="N25" s="38">
        <f t="shared" si="2"/>
        <v>36</v>
      </c>
      <c r="O25" s="38">
        <f t="shared" si="2"/>
        <v>36</v>
      </c>
    </row>
    <row r="26" spans="5:15" x14ac:dyDescent="0.2">
      <c r="E26" s="34">
        <v>30</v>
      </c>
      <c r="F26" s="34">
        <v>14</v>
      </c>
      <c r="G26" s="34">
        <v>14</v>
      </c>
      <c r="H26" s="36">
        <v>14</v>
      </c>
      <c r="M26" s="38">
        <f t="shared" si="2"/>
        <v>14</v>
      </c>
      <c r="N26" s="38">
        <f t="shared" si="2"/>
        <v>14</v>
      </c>
      <c r="O26" s="38">
        <f t="shared" si="2"/>
        <v>14</v>
      </c>
    </row>
    <row r="27" spans="5:15" x14ac:dyDescent="0.2">
      <c r="E27" s="34">
        <v>40</v>
      </c>
      <c r="F27" s="34">
        <v>40</v>
      </c>
      <c r="G27" s="34">
        <v>30</v>
      </c>
      <c r="H27" s="36">
        <v>11</v>
      </c>
      <c r="M27" s="38">
        <f t="shared" si="2"/>
        <v>11</v>
      </c>
      <c r="N27" s="38">
        <f t="shared" si="2"/>
        <v>11</v>
      </c>
      <c r="O27" s="38">
        <f t="shared" si="2"/>
        <v>11</v>
      </c>
    </row>
    <row r="28" spans="5:15" x14ac:dyDescent="0.2">
      <c r="E28" s="34">
        <v>50</v>
      </c>
      <c r="F28" s="34">
        <v>50</v>
      </c>
      <c r="G28" s="34">
        <v>50</v>
      </c>
      <c r="H28" s="36">
        <v>50</v>
      </c>
      <c r="M28" s="38">
        <f t="shared" si="2"/>
        <v>50</v>
      </c>
      <c r="N28" s="38">
        <f t="shared" si="2"/>
        <v>50</v>
      </c>
      <c r="O28" s="38">
        <f t="shared" si="2"/>
        <v>50</v>
      </c>
    </row>
    <row r="29" spans="5:15" x14ac:dyDescent="0.2">
      <c r="E29" s="34">
        <v>80</v>
      </c>
      <c r="F29" s="34">
        <v>80</v>
      </c>
      <c r="G29" s="34">
        <v>80</v>
      </c>
      <c r="H29" s="36">
        <v>36</v>
      </c>
      <c r="M29" s="38">
        <f t="shared" si="2"/>
        <v>36</v>
      </c>
      <c r="N29" s="38">
        <f t="shared" si="2"/>
        <v>36</v>
      </c>
      <c r="O29" s="38">
        <f t="shared" si="2"/>
        <v>36</v>
      </c>
    </row>
    <row r="30" spans="5:15" x14ac:dyDescent="0.2">
      <c r="E30" s="34">
        <v>30</v>
      </c>
      <c r="F30" s="34">
        <v>20</v>
      </c>
      <c r="G30" s="34">
        <v>20</v>
      </c>
      <c r="H30" s="36">
        <v>14</v>
      </c>
      <c r="M30" s="38">
        <f t="shared" si="2"/>
        <v>14</v>
      </c>
      <c r="N30" s="38">
        <f t="shared" si="2"/>
        <v>14</v>
      </c>
      <c r="O30" s="38">
        <f t="shared" si="2"/>
        <v>14</v>
      </c>
    </row>
    <row r="31" spans="5:15" x14ac:dyDescent="0.2">
      <c r="E31" s="34">
        <v>150</v>
      </c>
      <c r="F31" s="34">
        <v>150</v>
      </c>
      <c r="G31" s="34">
        <v>40</v>
      </c>
      <c r="H31" s="36">
        <v>11</v>
      </c>
      <c r="M31" s="38">
        <f t="shared" si="2"/>
        <v>11</v>
      </c>
      <c r="N31" s="38">
        <f t="shared" si="2"/>
        <v>11</v>
      </c>
      <c r="O31" s="38">
        <f t="shared" si="2"/>
        <v>11</v>
      </c>
    </row>
    <row r="32" spans="5:15" x14ac:dyDescent="0.2">
      <c r="E32" s="34">
        <v>100</v>
      </c>
      <c r="F32" s="34">
        <v>100</v>
      </c>
      <c r="G32" s="34">
        <v>100</v>
      </c>
      <c r="H32" s="36">
        <v>50</v>
      </c>
      <c r="M32" s="38">
        <f t="shared" si="2"/>
        <v>50</v>
      </c>
      <c r="N32" s="38">
        <f t="shared" si="2"/>
        <v>50</v>
      </c>
      <c r="O32" s="38">
        <f t="shared" si="2"/>
        <v>50</v>
      </c>
    </row>
    <row r="35" spans="1:15" x14ac:dyDescent="0.2">
      <c r="A35" t="s">
        <v>131</v>
      </c>
      <c r="E35" t="s">
        <v>132</v>
      </c>
      <c r="F35" t="s">
        <v>133</v>
      </c>
      <c r="G35" t="s">
        <v>134</v>
      </c>
      <c r="I35" t="s">
        <v>135</v>
      </c>
      <c r="J35" t="s">
        <v>136</v>
      </c>
      <c r="K35" t="s">
        <v>137</v>
      </c>
      <c r="M35" s="40" t="s">
        <v>16</v>
      </c>
      <c r="O35" s="40" t="s">
        <v>18</v>
      </c>
    </row>
    <row r="36" spans="1:15" x14ac:dyDescent="0.2">
      <c r="A36" s="41">
        <f>SUMPRODUCT(calc!B16:B36,data!H13:H33)+IF(calc!B8="норма",0,MIN(calc!B35,4)*data!I32+MIN(calc!B34,1)*data!I31)</f>
        <v>31.050000000000004</v>
      </c>
      <c r="C36" t="s">
        <v>138</v>
      </c>
      <c r="D36" t="s">
        <v>29</v>
      </c>
      <c r="E36" t="s">
        <v>120</v>
      </c>
      <c r="F36" t="s">
        <v>129</v>
      </c>
      <c r="G36" t="s">
        <v>130</v>
      </c>
      <c r="M36" s="40"/>
      <c r="N36" t="s">
        <v>139</v>
      </c>
      <c r="O36" s="40"/>
    </row>
    <row r="37" spans="1:15" x14ac:dyDescent="0.2">
      <c r="C37">
        <v>20</v>
      </c>
      <c r="D37">
        <v>40</v>
      </c>
      <c r="E37" s="38">
        <f t="shared" ref="E37:E44" si="3">IF($A$36&lt;0.25*D37,M5,IF($A$36&lt;0.5*D37,N5,O5))</f>
        <v>150</v>
      </c>
      <c r="F37" s="38">
        <f t="shared" ref="F37:F44" si="4">IF($A$36&lt;0.25*D37,M15,IF($A$36&lt;0.5*D37,N15,O15))</f>
        <v>100</v>
      </c>
      <c r="G37" s="38">
        <f t="shared" ref="G37:G44" si="5">IF($A$36&lt;0.25*D37,M25,IF($A$36&lt;0.5*D37,N25,O25))</f>
        <v>36</v>
      </c>
      <c r="I37" s="42">
        <f t="shared" ref="I37:I44" si="6">500*E37/$A$48</f>
        <v>2941.1764705882351</v>
      </c>
      <c r="J37" s="42">
        <f t="shared" ref="J37:J44" si="7">1000*F37/$A$46</f>
        <v>512.82051282051282</v>
      </c>
      <c r="K37" s="42">
        <f t="shared" ref="K37:K44" si="8">SQRT(1000000*G37*500/$A$46/$A$48)</f>
        <v>1902.6059766179762</v>
      </c>
      <c r="M37" s="43">
        <f t="shared" ref="M37:M44" si="9">MIN(I37:K37)</f>
        <v>512.82051282051282</v>
      </c>
      <c r="N37" s="42">
        <f t="shared" ref="N37:N44" si="10">M37*$A$48/500</f>
        <v>26.153846153846153</v>
      </c>
      <c r="O37" s="43">
        <f t="shared" ref="O37:O44" si="11">MIN(J37,1000000*G37/N37/$A$46)</f>
        <v>512.82051282051282</v>
      </c>
    </row>
    <row r="38" spans="1:15" x14ac:dyDescent="0.2">
      <c r="A38" t="s">
        <v>140</v>
      </c>
      <c r="C38">
        <v>40</v>
      </c>
      <c r="D38">
        <v>40</v>
      </c>
      <c r="E38" s="38">
        <f t="shared" si="3"/>
        <v>200</v>
      </c>
      <c r="F38" s="38">
        <f t="shared" si="4"/>
        <v>40</v>
      </c>
      <c r="G38" s="38">
        <f t="shared" si="5"/>
        <v>14</v>
      </c>
      <c r="I38" s="42">
        <f t="shared" si="6"/>
        <v>3921.5686274509803</v>
      </c>
      <c r="J38" s="42">
        <f t="shared" si="7"/>
        <v>205.12820512820514</v>
      </c>
      <c r="K38" s="42">
        <f t="shared" si="8"/>
        <v>1186.4832844221498</v>
      </c>
      <c r="M38" s="43">
        <f t="shared" si="9"/>
        <v>205.12820512820514</v>
      </c>
      <c r="N38" s="42">
        <f t="shared" si="10"/>
        <v>10.461538461538463</v>
      </c>
      <c r="O38" s="43">
        <f t="shared" si="11"/>
        <v>205.12820512820514</v>
      </c>
    </row>
    <row r="39" spans="1:15" x14ac:dyDescent="0.2">
      <c r="A39" s="44" t="b">
        <f>(calc!B17&gt;0)</f>
        <v>1</v>
      </c>
      <c r="C39">
        <v>20</v>
      </c>
      <c r="D39">
        <v>100</v>
      </c>
      <c r="E39" s="38">
        <f t="shared" si="3"/>
        <v>80</v>
      </c>
      <c r="F39" s="38">
        <f t="shared" si="4"/>
        <v>200</v>
      </c>
      <c r="G39" s="38">
        <f t="shared" si="5"/>
        <v>11</v>
      </c>
      <c r="I39" s="42">
        <f t="shared" si="6"/>
        <v>1568.6274509803923</v>
      </c>
      <c r="J39" s="42">
        <f t="shared" si="7"/>
        <v>1025.6410256410256</v>
      </c>
      <c r="K39" s="42">
        <f t="shared" si="8"/>
        <v>1051.7050247215877</v>
      </c>
      <c r="M39" s="43">
        <f t="shared" si="9"/>
        <v>1025.6410256410256</v>
      </c>
      <c r="N39" s="42">
        <f t="shared" si="10"/>
        <v>52.307692307692307</v>
      </c>
      <c r="O39" s="43">
        <f t="shared" si="11"/>
        <v>1025.6410256410256</v>
      </c>
    </row>
    <row r="40" spans="1:15" x14ac:dyDescent="0.2">
      <c r="C40">
        <v>40</v>
      </c>
      <c r="D40">
        <v>100</v>
      </c>
      <c r="E40" s="38">
        <f t="shared" si="3"/>
        <v>200</v>
      </c>
      <c r="F40" s="38">
        <f t="shared" si="4"/>
        <v>80</v>
      </c>
      <c r="G40" s="38">
        <f t="shared" si="5"/>
        <v>50</v>
      </c>
      <c r="I40" s="42">
        <f t="shared" si="6"/>
        <v>3921.5686274509803</v>
      </c>
      <c r="J40" s="42">
        <f t="shared" si="7"/>
        <v>410.25641025641028</v>
      </c>
      <c r="K40" s="42">
        <f t="shared" si="8"/>
        <v>2242.2426466543748</v>
      </c>
      <c r="M40" s="43">
        <f t="shared" si="9"/>
        <v>410.25641025641028</v>
      </c>
      <c r="N40" s="42">
        <f t="shared" si="10"/>
        <v>20.923076923076927</v>
      </c>
      <c r="O40" s="43">
        <f t="shared" si="11"/>
        <v>410.25641025641028</v>
      </c>
    </row>
    <row r="41" spans="1:15" x14ac:dyDescent="0.2">
      <c r="A41" t="s">
        <v>141</v>
      </c>
      <c r="B41" t="s">
        <v>142</v>
      </c>
      <c r="C41">
        <v>20</v>
      </c>
      <c r="D41">
        <v>40</v>
      </c>
      <c r="E41" s="38">
        <f t="shared" si="3"/>
        <v>150</v>
      </c>
      <c r="F41" s="38">
        <f t="shared" si="4"/>
        <v>100</v>
      </c>
      <c r="G41" s="38">
        <f t="shared" si="5"/>
        <v>36</v>
      </c>
      <c r="I41" s="42">
        <f t="shared" si="6"/>
        <v>2941.1764705882351</v>
      </c>
      <c r="J41" s="42">
        <f t="shared" si="7"/>
        <v>512.82051282051282</v>
      </c>
      <c r="K41" s="42">
        <f t="shared" si="8"/>
        <v>1902.6059766179762</v>
      </c>
      <c r="M41" s="43">
        <f t="shared" si="9"/>
        <v>512.82051282051282</v>
      </c>
      <c r="N41" s="42">
        <f t="shared" si="10"/>
        <v>26.153846153846153</v>
      </c>
      <c r="O41" s="43">
        <f t="shared" si="11"/>
        <v>512.82051282051282</v>
      </c>
    </row>
    <row r="42" spans="1:15" x14ac:dyDescent="0.2">
      <c r="A42" s="44" t="b">
        <f>((calc!B16+calc!B17+calc!B18+calc!B29+calc!B31)&gt;0)</f>
        <v>1</v>
      </c>
      <c r="B42" t="s">
        <v>142</v>
      </c>
      <c r="C42">
        <v>40</v>
      </c>
      <c r="D42">
        <v>40</v>
      </c>
      <c r="E42" s="38">
        <f t="shared" si="3"/>
        <v>200</v>
      </c>
      <c r="F42" s="38">
        <f t="shared" si="4"/>
        <v>40</v>
      </c>
      <c r="G42" s="38">
        <f t="shared" si="5"/>
        <v>14</v>
      </c>
      <c r="I42" s="42">
        <f t="shared" si="6"/>
        <v>3921.5686274509803</v>
      </c>
      <c r="J42" s="42">
        <f t="shared" si="7"/>
        <v>205.12820512820514</v>
      </c>
      <c r="K42" s="42">
        <f t="shared" si="8"/>
        <v>1186.4832844221498</v>
      </c>
      <c r="M42" s="43">
        <f t="shared" si="9"/>
        <v>205.12820512820514</v>
      </c>
      <c r="N42" s="42">
        <f t="shared" si="10"/>
        <v>10.461538461538463</v>
      </c>
      <c r="O42" s="43">
        <f t="shared" si="11"/>
        <v>205.12820512820514</v>
      </c>
    </row>
    <row r="43" spans="1:15" x14ac:dyDescent="0.2">
      <c r="B43" t="s">
        <v>142</v>
      </c>
      <c r="C43">
        <v>20</v>
      </c>
      <c r="D43">
        <v>100</v>
      </c>
      <c r="E43" s="38">
        <f t="shared" si="3"/>
        <v>80</v>
      </c>
      <c r="F43" s="38">
        <f t="shared" si="4"/>
        <v>200</v>
      </c>
      <c r="G43" s="38">
        <f t="shared" si="5"/>
        <v>11</v>
      </c>
      <c r="I43" s="42">
        <f t="shared" si="6"/>
        <v>1568.6274509803923</v>
      </c>
      <c r="J43" s="42">
        <f t="shared" si="7"/>
        <v>1025.6410256410256</v>
      </c>
      <c r="K43" s="42">
        <f t="shared" si="8"/>
        <v>1051.7050247215877</v>
      </c>
      <c r="M43" s="43">
        <f t="shared" si="9"/>
        <v>1025.6410256410256</v>
      </c>
      <c r="N43" s="42">
        <f t="shared" si="10"/>
        <v>52.307692307692307</v>
      </c>
      <c r="O43" s="43">
        <f t="shared" si="11"/>
        <v>1025.6410256410256</v>
      </c>
    </row>
    <row r="44" spans="1:15" x14ac:dyDescent="0.2">
      <c r="B44" t="s">
        <v>142</v>
      </c>
      <c r="C44">
        <v>40</v>
      </c>
      <c r="D44">
        <v>100</v>
      </c>
      <c r="E44" s="38">
        <f t="shared" si="3"/>
        <v>200</v>
      </c>
      <c r="F44" s="38">
        <f t="shared" si="4"/>
        <v>80</v>
      </c>
      <c r="G44" s="38">
        <f t="shared" si="5"/>
        <v>50</v>
      </c>
      <c r="I44" s="42">
        <f t="shared" si="6"/>
        <v>3921.5686274509803</v>
      </c>
      <c r="J44" s="42">
        <f t="shared" si="7"/>
        <v>410.25641025641028</v>
      </c>
      <c r="K44" s="42">
        <f t="shared" si="8"/>
        <v>2242.2426466543748</v>
      </c>
      <c r="M44" s="43">
        <f t="shared" si="9"/>
        <v>410.25641025641028</v>
      </c>
      <c r="N44" s="42">
        <f t="shared" si="10"/>
        <v>20.923076923076927</v>
      </c>
      <c r="O44" s="43">
        <f t="shared" si="11"/>
        <v>410.25641025641028</v>
      </c>
    </row>
    <row r="45" spans="1:15" x14ac:dyDescent="0.2">
      <c r="A45" t="s">
        <v>143</v>
      </c>
    </row>
    <row r="46" spans="1:15" x14ac:dyDescent="0.2">
      <c r="A46" s="41">
        <f>VLOOKUP(calc!B12,data!A12:C62,3,0)</f>
        <v>195</v>
      </c>
      <c r="K46" t="s">
        <v>138</v>
      </c>
      <c r="L46" t="s">
        <v>29</v>
      </c>
    </row>
    <row r="47" spans="1:15" x14ac:dyDescent="0.2">
      <c r="A47" t="s">
        <v>144</v>
      </c>
      <c r="K47">
        <v>20</v>
      </c>
      <c r="L47">
        <v>40</v>
      </c>
      <c r="M47" s="45">
        <f t="shared" ref="M47:O50" si="12">IF($A$51,M41,M37)</f>
        <v>512.82051282051282</v>
      </c>
      <c r="N47" s="45">
        <f t="shared" si="12"/>
        <v>26.153846153846153</v>
      </c>
      <c r="O47" s="45">
        <f t="shared" si="12"/>
        <v>512.82051282051282</v>
      </c>
    </row>
    <row r="48" spans="1:15" x14ac:dyDescent="0.2">
      <c r="A48" s="41">
        <f>VLOOKUP(calc!B12,data!A12:C62,2,0)/2</f>
        <v>25.5</v>
      </c>
      <c r="K48">
        <v>40</v>
      </c>
      <c r="L48">
        <v>40</v>
      </c>
      <c r="M48" s="45">
        <f t="shared" si="12"/>
        <v>205.12820512820514</v>
      </c>
      <c r="N48" s="45">
        <f t="shared" si="12"/>
        <v>10.461538461538463</v>
      </c>
      <c r="O48" s="45">
        <f t="shared" si="12"/>
        <v>205.12820512820514</v>
      </c>
    </row>
    <row r="49" spans="1:15" x14ac:dyDescent="0.2">
      <c r="K49">
        <v>20</v>
      </c>
      <c r="L49">
        <v>100</v>
      </c>
      <c r="M49" s="45">
        <f t="shared" si="12"/>
        <v>1025.6410256410256</v>
      </c>
      <c r="N49" s="45">
        <f t="shared" si="12"/>
        <v>52.307692307692307</v>
      </c>
      <c r="O49" s="45">
        <f t="shared" si="12"/>
        <v>1025.6410256410256</v>
      </c>
    </row>
    <row r="50" spans="1:15" x14ac:dyDescent="0.2">
      <c r="A50" t="s">
        <v>145</v>
      </c>
      <c r="K50">
        <v>40</v>
      </c>
      <c r="L50">
        <v>100</v>
      </c>
      <c r="M50" s="45">
        <f t="shared" si="12"/>
        <v>410.25641025641028</v>
      </c>
      <c r="N50" s="45">
        <f t="shared" si="12"/>
        <v>20.923076923076927</v>
      </c>
      <c r="O50" s="45">
        <f t="shared" si="12"/>
        <v>410.25641025641028</v>
      </c>
    </row>
    <row r="51" spans="1:15" x14ac:dyDescent="0.2">
      <c r="A51" t="b">
        <f>(calc!B11="по току")</f>
        <v>1</v>
      </c>
      <c r="L51" t="s">
        <v>138</v>
      </c>
    </row>
    <row r="52" spans="1:15" x14ac:dyDescent="0.2">
      <c r="L52">
        <v>20</v>
      </c>
      <c r="M52" s="45">
        <f>IF(calc!$B$10=40,internal!M47,internal!M49)</f>
        <v>1025.6410256410256</v>
      </c>
      <c r="N52" s="45">
        <f>IF(calc!$B$10=40,internal!N47,internal!N49)</f>
        <v>52.307692307692307</v>
      </c>
      <c r="O52" s="45">
        <f>IF(calc!$B$10=40,internal!O47,internal!O49)</f>
        <v>1025.6410256410256</v>
      </c>
    </row>
    <row r="53" spans="1:15" x14ac:dyDescent="0.2">
      <c r="A53" t="s">
        <v>146</v>
      </c>
      <c r="L53">
        <v>40</v>
      </c>
      <c r="M53" s="45">
        <f>IF(calc!$B$10=40,internal!M48,internal!M50)</f>
        <v>410.25641025641028</v>
      </c>
      <c r="N53" s="45">
        <f>IF(calc!$B$10=40,internal!N48,internal!N50)</f>
        <v>20.923076923076927</v>
      </c>
      <c r="O53" s="45">
        <f>IF(calc!$B$10=40,internal!O48,internal!O50)</f>
        <v>410.25641025641028</v>
      </c>
    </row>
    <row r="54" spans="1:15" x14ac:dyDescent="0.2">
      <c r="A54">
        <f>IF(calc!B9&gt;calc!B13,1.2*calc!B9/calc!B13,1)*A36</f>
        <v>62.100000000000009</v>
      </c>
    </row>
    <row r="55" spans="1:15" x14ac:dyDescent="0.2">
      <c r="M55" s="45">
        <f>IF(calc!$B$9=20,M52,M53)</f>
        <v>410.25641025641028</v>
      </c>
      <c r="N55" s="45">
        <f>IF(calc!$B$9=20,N52,N53)</f>
        <v>20.923076923076927</v>
      </c>
      <c r="O55" s="45">
        <f>IF(calc!$B$9=20,O52,O53)</f>
        <v>410.25641025641028</v>
      </c>
    </row>
  </sheetData>
  <sheetProtection algorithmName="SHA-512" hashValue="mSKV4SzWmBeZ4TeXTcJTzDjhqG9Vxq9++mk4GwPHjDIzl+xmvcVlTSvvU+W4QEyndx/97g9sI3C5wsU0we05uw==" saltValue="2/QpLGDacXyfZPGOE3o3HA==" spinCount="100000" sheet="1" objects="1" scenarios="1"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calc</vt:lpstr>
      <vt:lpstr>data</vt:lpstr>
      <vt:lpstr>internal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</dc:creator>
  <dc:description/>
  <cp:lastModifiedBy>Пользователь Windows</cp:lastModifiedBy>
  <cp:revision>5</cp:revision>
  <dcterms:created xsi:type="dcterms:W3CDTF">2020-07-23T03:26:03Z</dcterms:created>
  <dcterms:modified xsi:type="dcterms:W3CDTF">2021-08-19T12:40:22Z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